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" state="visible" r:id="rId4"/>
    <sheet sheetId="2" name="Ресурсы" state="visible" r:id="rId5"/>
    <sheet sheetId="3" name="Расчёт" state="visible" r:id="rId6"/>
    <sheet sheetId="4" name="Проверка" state="visible" r:id="rId7"/>
  </sheets>
  <definedNames>
    <definedName name="_xlnm.Print_Area" localSheetId="0">'Исходные'!$A1:$D38</definedName>
    <definedName name="_xlnm.Print_Titles" localSheetId="0">'Исходные'!$1:$4</definedName>
    <definedName name="_xlnm.Print_Area" localSheetId="1">'Ресурсы'!$A1:$L22</definedName>
    <definedName name="_xlnm.Print_Titles" localSheetId="1">'Ресурсы'!$1:$4</definedName>
    <definedName name="_xlnm.Print_Area" localSheetId="2">'Расчёт'!$A1:$E26</definedName>
    <definedName name="_xlnm.Print_Titles" localSheetId="2">'Расчёт'!$1:$4</definedName>
    <definedName name="_xlnm.Print_Area" localSheetId="3">'Проверка'!$A1:$C15</definedName>
    <definedName name="_xlnm.Print_Titles" localSheetId="3">'Проверка'!$1:$4</definedName>
  </definedNames>
  <calcPr calcId="171027" fullCalcOnLoad="1"/>
</workbook>
</file>

<file path=xl/sharedStrings.xml><?xml version="1.0" encoding="utf-8"?>
<sst xmlns="http://schemas.openxmlformats.org/spreadsheetml/2006/main" count="246" uniqueCount="195">
  <si>
    <t>Ресурсный расчёт: исходные данные</t>
  </si>
  <si>
    <t>Параметр</t>
  </si>
  <si>
    <t>Значение</t>
  </si>
  <si>
    <t>Единица</t>
  </si>
  <si>
    <t>Основание</t>
  </si>
  <si>
    <t>Объект</t>
  </si>
  <si>
    <t>Монтаж металлических порогов</t>
  </si>
  <si>
    <t/>
  </si>
  <si>
    <t>Учебный пример</t>
  </si>
  <si>
    <t>Работа</t>
  </si>
  <si>
    <t>Укладка металлического накладного профиля (порога)</t>
  </si>
  <si>
    <t>Строка ведомости</t>
  </si>
  <si>
    <t>Физический объём</t>
  </si>
  <si>
    <t>м</t>
  </si>
  <si>
    <t>Учебная ВОР</t>
  </si>
  <si>
    <t>Измеритель нормы</t>
  </si>
  <si>
    <t>100 м по ГЭСН; не заменять на 1 м</t>
  </si>
  <si>
    <t>Шифр нормы</t>
  </si>
  <si>
    <t>11-01-049-01</t>
  </si>
  <si>
    <t>ГЭСН-2022, локальный снимок</t>
  </si>
  <si>
    <t>База расхода ресурсов</t>
  </si>
  <si>
    <t>ФСНБ-2022</t>
  </si>
  <si>
    <t>Номер дополнения импорта не установлен</t>
  </si>
  <si>
    <t>Дата расчёта</t>
  </si>
  <si>
    <t>Дата учебного расчёта, не дата рыночного прайса</t>
  </si>
  <si>
    <t>Цена труда рабочих, разряд 3,0</t>
  </si>
  <si>
    <t>руб./чел.-ч</t>
  </si>
  <si>
    <t>Условная, без НДС</t>
  </si>
  <si>
    <t>Цена электроэнергии</t>
  </si>
  <si>
    <t>руб./кВт-ч</t>
  </si>
  <si>
    <t>Условная, без НДС; доставка не начисляется</t>
  </si>
  <si>
    <t>Цена шурупов</t>
  </si>
  <si>
    <t>руб./100 шт</t>
  </si>
  <si>
    <t>Условная; доставка и складские расходы включены</t>
  </si>
  <si>
    <t>Количество проектного профиля</t>
  </si>
  <si>
    <t>Учебная спецификация; не норматив отходов</t>
  </si>
  <si>
    <t>Цена проектного профиля</t>
  </si>
  <si>
    <t>руб./м</t>
  </si>
  <si>
    <t>Норматив накладных расходов</t>
  </si>
  <si>
    <t>% ФОТ</t>
  </si>
  <si>
    <t>812/пр, приложение, строка 11 «Полы», обычная территория</t>
  </si>
  <si>
    <t>Норматив сметной прибыли</t>
  </si>
  <si>
    <t>774/пр, приложение, строка 11 «Полы»</t>
  </si>
  <si>
    <t>НДС для коммерческого блока</t>
  </si>
  <si>
    <t>%</t>
  </si>
  <si>
    <t>ФНС: основная ставка с 01.01.2026</t>
  </si>
  <si>
    <t>Включить коммерческий НДС</t>
  </si>
  <si>
    <t>0 или 1</t>
  </si>
  <si>
    <t>0: выключен; 1: включён отдельным итогом</t>
  </si>
  <si>
    <t>Территория цен</t>
  </si>
  <si>
    <t>Учебное условие</t>
  </si>
  <si>
    <t>Не реальные региональные цены ФГИС ЦС</t>
  </si>
  <si>
    <t>Ценовая зона</t>
  </si>
  <si>
    <t>Регион и зона не подменены выдуманными названиями</t>
  </si>
  <si>
    <t>Период цен</t>
  </si>
  <si>
    <t>Не фактический квартальный ценник</t>
  </si>
  <si>
    <t>Источник цен</t>
  </si>
  <si>
    <t>Цены заданы условием</t>
  </si>
  <si>
    <t>Не рыночные цены и не выгрузка ФГИС ЦС</t>
  </si>
  <si>
    <t>Материальные цены</t>
  </si>
  <si>
    <t>Доставка и складские расходы включены</t>
  </si>
  <si>
    <t>Без НДС, не начислять повторно</t>
  </si>
  <si>
    <t>Коэффициент количества</t>
  </si>
  <si>
    <t>Нет особых условий и поправочных коэффициентов</t>
  </si>
  <si>
    <t>Машины и машинисты</t>
  </si>
  <si>
    <t>Отсутствуют в локальном перечне</t>
  </si>
  <si>
    <t>В других нормах проверяются отдельно</t>
  </si>
  <si>
    <t>Повторно добавленные операции</t>
  </si>
  <si>
    <t>шт</t>
  </si>
  <si>
    <t>Контроль вручную: резка, сверление, крепление уже учтены</t>
  </si>
  <si>
    <t>Единица труда</t>
  </si>
  <si>
    <t>чел.-ч</t>
  </si>
  <si>
    <t>В БД поле пусто; восстановлено по типу трудового ресурса</t>
  </si>
  <si>
    <t>Источник</t>
  </si>
  <si>
    <t>Документ</t>
  </si>
  <si>
    <t>Проверено</t>
  </si>
  <si>
    <t>Ссылка или сведения</t>
  </si>
  <si>
    <t>Накладные расходы</t>
  </si>
  <si>
    <t>812/пр, строка 11</t>
  </si>
  <si>
    <t>https://fgiscs.minstroyrf.ru/api/FrsnDocument/DocDataByGuid/44f562bc-1b1f-4f25-9dbc-96814fe71da9</t>
  </si>
  <si>
    <t>Сметная прибыль</t>
  </si>
  <si>
    <t>774/пр, строка 11</t>
  </si>
  <si>
    <t>https://fgiscs.minstroyrf.ru/api/FrsnDocument/DocDataByGuid/46c3d291-86bc-46bf-9d12-3d81c5deb20b</t>
  </si>
  <si>
    <t>НДС</t>
  </si>
  <si>
    <t>ФНС: Налоги 2026</t>
  </si>
  <si>
    <t>https://www.nalog.gov.ru/new2026/</t>
  </si>
  <si>
    <t>Расходы ресурсов</t>
  </si>
  <si>
    <t>ГЭСН-2022 11-01-049-01</t>
  </si>
  <si>
    <t>Локальный снимок нормы; перед рабочей сметой проверить полный сборник и проект</t>
  </si>
  <si>
    <t>Использование</t>
  </si>
  <si>
    <t>Жёлтые ячейки: исходные данные</t>
  </si>
  <si>
    <t>Проектный профиль изменяют по спецификации отдельно от объёма работы</t>
  </si>
  <si>
    <t>Граница примера</t>
  </si>
  <si>
    <t>Учебная коммерческая калькуляция</t>
  </si>
  <si>
    <t>Не официальный бланк ЛСР; нет непредвиденных затрат и иных начислений</t>
  </si>
  <si>
    <t>Потребность в ресурсах и текущие цены</t>
  </si>
  <si>
    <t>Шифр работы</t>
  </si>
  <si>
    <t>Код ресурса</t>
  </si>
  <si>
    <t>Ресурс</t>
  </si>
  <si>
    <t>Источник количества</t>
  </si>
  <si>
    <t>Расход на 100 м</t>
  </si>
  <si>
    <t>Объём по норме</t>
  </si>
  <si>
    <t>Коэф. количества</t>
  </si>
  <si>
    <t>Всего ресурса</t>
  </si>
  <si>
    <t>Цена единицы, руб.</t>
  </si>
  <si>
    <t>Источник цены</t>
  </si>
  <si>
    <t>Статус строки</t>
  </si>
  <si>
    <t>1-100-30</t>
  </si>
  <si>
    <t>Труд рабочих, средний разряд 3,0</t>
  </si>
  <si>
    <t>Локальный снимок ГЭСН-2022</t>
  </si>
  <si>
    <t>01.7.03.04-0001</t>
  </si>
  <si>
    <t>Электроэнергия</t>
  </si>
  <si>
    <t>кВт-ч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</si>
  <si>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</si>
  <si>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</si>
  <si>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</si>
  <si>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Металлический профиль по спецификации</t>
  </si>
  <si>
    <t>Учебная спецификация</t>
  </si>
  <si>
    <t>Код или ресурс</t>
  </si>
  <si>
    <t>Период цены</t>
  </si>
  <si>
    <t>Территория</t>
  </si>
  <si>
    <t>НДС в цене</t>
  </si>
  <si>
    <t>Доставка</t>
  </si>
  <si>
    <t>Складские расходы</t>
  </si>
  <si>
    <t>Способ получения цены</t>
  </si>
  <si>
    <t>Без НДС</t>
  </si>
  <si>
    <t>Не начисляется</t>
  </si>
  <si>
    <t>Не начисляются</t>
  </si>
  <si>
    <t>Условная прямая цена</t>
  </si>
  <si>
    <t>Включена</t>
  </si>
  <si>
    <t>Включены</t>
  </si>
  <si>
    <t>Профиль</t>
  </si>
  <si>
    <t>Единица крепежа</t>
  </si>
  <si>
    <t>1,675 единицы по 100 шт соответствуют нормативному расходу 167,5 шт. Цена задана за 100 шт.</t>
  </si>
  <si>
    <t>В локальной выгрузке отсутствует. Количество 25,5 м задано учебной спецификацией, код КСР не присвоен.</t>
  </si>
  <si>
    <t>Труд</t>
  </si>
  <si>
    <t>В локальной БД единица труда пустая; чел.-ч восстановлено по типу ресурса.</t>
  </si>
  <si>
    <t>Ресурсная калькуляция: стоимость</t>
  </si>
  <si>
    <t>Ресурс или начисление</t>
  </si>
  <si>
    <t>Количество</t>
  </si>
  <si>
    <t>Цена, руб.</t>
  </si>
  <si>
    <t>Стоимость, руб.</t>
  </si>
  <si>
    <t>Состав и основание</t>
  </si>
  <si>
    <t>Условная цена за чел.-ч</t>
  </si>
  <si>
    <t>Условная цена за кВт-ч</t>
  </si>
  <si>
    <t>Условная цена за 100 шт</t>
  </si>
  <si>
    <t>Условная цена за м; количество из спецификации</t>
  </si>
  <si>
    <t>ОТ: оплата труда рабочих</t>
  </si>
  <si>
    <t>ФОТ рабочих из трудового ресурса</t>
  </si>
  <si>
    <t>ОТм: оплата труда машинистов</t>
  </si>
  <si>
    <t>В локальном перечне отсутствует</t>
  </si>
  <si>
    <t>ЭМ: эксплуатация машин</t>
  </si>
  <si>
    <t>В локальном перечне отсутствует; ОТм не добавлять повторно</t>
  </si>
  <si>
    <t>Материальные ресурсы</t>
  </si>
  <si>
    <t>Электроэнергия, шурупы, профиль</t>
  </si>
  <si>
    <t>Прямые затраты</t>
  </si>
  <si>
    <t>ОТ + ЭМ + материалы; ОТм входит в ЭМ</t>
  </si>
  <si>
    <t>Фонд оплаты труда</t>
  </si>
  <si>
    <t>ОТ + ОТм</t>
  </si>
  <si>
    <t>112 % ФОТ; 812/пр, строка 11 «Полы»</t>
  </si>
  <si>
    <t>65 % ФОТ; 774/пр, строка 11 «Полы»</t>
  </si>
  <si>
    <t>Итого до дополнительных затрат и налогов</t>
  </si>
  <si>
    <t>ПЗ + НР + СП; непредвиденные затраты не начислены</t>
  </si>
  <si>
    <t>НДС: отдельный коммерческий блок</t>
  </si>
  <si>
    <t>Выключен по умолчанию; ставка основного примера 22 %</t>
  </si>
  <si>
    <t>Коммерческий итог с выбранным налогом</t>
  </si>
  <si>
    <t>Не переносить НДС автоматически внутрь позиции официального ЛСР</t>
  </si>
  <si>
    <t>Статус калькуляции</t>
  </si>
  <si>
    <t>Полнота проверяется для состава этого учебного примера</t>
  </si>
  <si>
    <t>Условия применения</t>
  </si>
  <si>
    <t>Учебные цены; новое строительство, обычная территория, без Северных и ремонтных коэффициентов.</t>
  </si>
  <si>
    <t>НР и СП</t>
  </si>
  <si>
    <t>Локальная строка нормативов относится к ФСНБ-2020; проценты сверены по приказам, расходы взяты из ГЭСН-2022.</t>
  </si>
  <si>
    <t>Проверки перед передачей расчёта</t>
  </si>
  <si>
    <t>Проверка</t>
  </si>
  <si>
    <t>Результат</t>
  </si>
  <si>
    <t>Что проверить</t>
  </si>
  <si>
    <t>Полнота расчёта</t>
  </si>
  <si>
    <t>Не подменять обязательные пропуски нулевыми ценами</t>
  </si>
  <si>
    <t>Пустые или нулевые цены</t>
  </si>
  <si>
    <t>Заполнить цену или обосновать предусмотренный порядок её определения</t>
  </si>
  <si>
    <t>Проектный профиль</t>
  </si>
  <si>
    <t>Профиль 25,5 м задан учебной спецификацией; в локальной выгрузке его нет</t>
  </si>
  <si>
    <t>Единицы и сведения о ценах</t>
  </si>
  <si>
    <t>Проверить дату, период, территорию, зону и единицы во всех строках</t>
  </si>
  <si>
    <t>Измеритель и шифр нормы</t>
  </si>
  <si>
    <t>Для выбранной нормы 25 / 100 = 0,25; другую норму требуется проверить заново</t>
  </si>
  <si>
    <t>Повторные операции</t>
  </si>
  <si>
    <t>Сметчик проверяет вручную: разметка, резка, сверление и крепление уже включены</t>
  </si>
  <si>
    <t>Контроль исходного примера, руб.</t>
  </si>
  <si>
    <t>0 только при исходных данных примера; изменённые данные дают другой итог</t>
  </si>
  <si>
    <t>Проверка сметчиком</t>
  </si>
  <si>
    <t>Редакция нормы, полнота проектных ресурсов, применимость коэффициентов и документы о ценах проверяются по объекту.</t>
  </si>
  <si>
    <t>Учебные сведения</t>
  </si>
  <si>
    <t>В файле нет реального региона и периода цен. Его нельзя выдавать за нормативный ресурсный ЛСР.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</si>
</sst>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"/>
    <numFmt numFmtId="166" formatCode="0.0000"/>
  </numFmts>
  <fonts count="5" x14ac:knownFonts="1">
    <font>
      <color theme="1"/>
      <family val="2"/>
      <scheme val="minor"/>
      <sz val="11"/>
      <name val="Calibri"/>
    </font>
    <font>
      <b/>
      <color rgb="352B25"/>
      <sz val="14"/>
      <name val="Arial"/>
    </font>
    <font>
      <b/>
      <color rgb="FFFFFF"/>
      <sz val="10"/>
      <name val="Arial"/>
    </font>
    <font>
      <color rgb="352B25"/>
      <sz val="10"/>
      <name val="Arial"/>
    </font>
    <font>
      <b/>
      <color rgb="352B25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614630"/>
      </patternFill>
    </fill>
    <fill>
      <patternFill patternType="solid">
        <fgColor rgb="FFF1D2"/>
      </patternFill>
    </fill>
    <fill>
      <patternFill patternType="solid">
        <fgColor rgb="F1EAE3"/>
      </patternFill>
    </fill>
  </fills>
  <borders count="2">
    <border>
      <left/>
      <right/>
      <top/>
      <bottom/>
      <diagonal/>
    </border>
    <border>
      <left/>
      <right/>
      <top style="thin">
        <color rgb="D8CEC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left" vertical="center" wrapText="1"/>
    </xf>
    <xf numFmtId="4" fontId="3" fillId="3" borderId="0" xfId="0" applyNumberFormat="1" applyFont="1" applyFill="1" applyAlignment="1">
      <alignment horizontal="righ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9" fontId="3" fillId="3" borderId="0" xfId="0" applyNumberFormat="1" applyFont="1" applyFill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6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4" fontId="4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4">
    <dxf>
      <font>
        <b/>
        <color rgb="A22B21"/>
      </font>
      <fill>
        <patternFill patternType="solid">
          <fgColor rgb="FCE3DF"/>
        </patternFill>
      </fill>
    </dxf>
    <dxf>
      <font>
        <b/>
        <color rgb="A22B21"/>
      </font>
      <fill>
        <patternFill patternType="solid">
          <fgColor rgb="FCE3DF"/>
        </patternFill>
      </fill>
    </dxf>
    <dxf>
      <font>
        <b/>
        <color rgb="A22B21"/>
      </font>
      <fill>
        <patternFill patternType="solid">
          <fgColor rgb="FCE3DF"/>
        </patternFill>
      </fill>
    </dxf>
    <dxf>
      <font>
        <b/>
        <color rgb="A22B21"/>
      </font>
      <fill>
        <patternFill patternType="solid">
          <fgColor rgb="FCE3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8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42" customWidth="1"/>
    <col min="3" max="3" width="20" customWidth="1"/>
    <col min="4" max="4" width="72" customWidth="1"/>
  </cols>
  <sheetData>
    <row r="2" ht="25" customHeight="1" spans="1:1" x14ac:dyDescent="0.25">
      <c r="A2" s="1" t="s">
        <v>0</v>
      </c>
    </row>
    <row r="4" ht="36" customHeight="1" spans="1:4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ht="43" customHeight="1" spans="1:4" x14ac:dyDescent="0.25">
      <c r="A5" s="3" t="s">
        <v>5</v>
      </c>
      <c r="B5" s="4" t="s">
        <v>6</v>
      </c>
      <c r="C5" s="3" t="s">
        <v>7</v>
      </c>
      <c r="D5" s="3" t="s">
        <v>8</v>
      </c>
    </row>
    <row r="6" ht="43" customHeight="1" spans="1:4" x14ac:dyDescent="0.25">
      <c r="A6" s="3" t="s">
        <v>9</v>
      </c>
      <c r="B6" s="4" t="s">
        <v>10</v>
      </c>
      <c r="C6" s="3" t="s">
        <v>7</v>
      </c>
      <c r="D6" s="3" t="s">
        <v>11</v>
      </c>
    </row>
    <row r="7" ht="43" customHeight="1" spans="1:4" x14ac:dyDescent="0.25">
      <c r="A7" s="3" t="s">
        <v>12</v>
      </c>
      <c r="B7" s="5">
        <v>25</v>
      </c>
      <c r="C7" s="3" t="s">
        <v>13</v>
      </c>
      <c r="D7" s="3" t="s">
        <v>14</v>
      </c>
    </row>
    <row r="8" ht="43" customHeight="1" spans="1:4" x14ac:dyDescent="0.25">
      <c r="A8" s="3" t="s">
        <v>15</v>
      </c>
      <c r="B8" s="5">
        <v>100</v>
      </c>
      <c r="C8" s="3" t="s">
        <v>13</v>
      </c>
      <c r="D8" s="3" t="s">
        <v>16</v>
      </c>
    </row>
    <row r="9" ht="43" customHeight="1" spans="1:4" x14ac:dyDescent="0.25">
      <c r="A9" s="3" t="s">
        <v>17</v>
      </c>
      <c r="B9" s="4" t="s">
        <v>18</v>
      </c>
      <c r="C9" s="3" t="s">
        <v>7</v>
      </c>
      <c r="D9" s="3" t="s">
        <v>19</v>
      </c>
    </row>
    <row r="10" ht="43" customHeight="1" spans="1:4" x14ac:dyDescent="0.25">
      <c r="A10" s="3" t="s">
        <v>20</v>
      </c>
      <c r="B10" s="4" t="s">
        <v>21</v>
      </c>
      <c r="C10" s="3" t="s">
        <v>7</v>
      </c>
      <c r="D10" s="3" t="s">
        <v>22</v>
      </c>
    </row>
    <row r="11" ht="43" customHeight="1" spans="1:4" x14ac:dyDescent="0.25">
      <c r="A11" s="3" t="s">
        <v>23</v>
      </c>
      <c r="B11" s="6">
        <v>46300</v>
      </c>
      <c r="C11" s="3" t="s">
        <v>7</v>
      </c>
      <c r="D11" s="3" t="s">
        <v>24</v>
      </c>
    </row>
    <row r="12" ht="43" customHeight="1" spans="1:4" x14ac:dyDescent="0.25">
      <c r="A12" s="3" t="s">
        <v>25</v>
      </c>
      <c r="B12" s="7">
        <v>600</v>
      </c>
      <c r="C12" s="3" t="s">
        <v>26</v>
      </c>
      <c r="D12" s="3" t="s">
        <v>27</v>
      </c>
    </row>
    <row r="13" ht="43" customHeight="1" spans="1:4" x14ac:dyDescent="0.25">
      <c r="A13" s="3" t="s">
        <v>28</v>
      </c>
      <c r="B13" s="7">
        <v>8</v>
      </c>
      <c r="C13" s="3" t="s">
        <v>29</v>
      </c>
      <c r="D13" s="3" t="s">
        <v>30</v>
      </c>
    </row>
    <row r="14" ht="43" customHeight="1" spans="1:4" x14ac:dyDescent="0.25">
      <c r="A14" s="3" t="s">
        <v>31</v>
      </c>
      <c r="B14" s="7">
        <v>300</v>
      </c>
      <c r="C14" s="3" t="s">
        <v>32</v>
      </c>
      <c r="D14" s="3" t="s">
        <v>33</v>
      </c>
    </row>
    <row r="15" ht="43" customHeight="1" spans="1:4" x14ac:dyDescent="0.25">
      <c r="A15" s="3" t="s">
        <v>34</v>
      </c>
      <c r="B15" s="8">
        <v>25.5</v>
      </c>
      <c r="C15" s="3" t="s">
        <v>13</v>
      </c>
      <c r="D15" s="3" t="s">
        <v>35</v>
      </c>
    </row>
    <row r="16" ht="43" customHeight="1" spans="1:4" x14ac:dyDescent="0.25">
      <c r="A16" s="3" t="s">
        <v>36</v>
      </c>
      <c r="B16" s="7">
        <v>200</v>
      </c>
      <c r="C16" s="3" t="s">
        <v>37</v>
      </c>
      <c r="D16" s="3" t="s">
        <v>33</v>
      </c>
    </row>
    <row r="17" ht="43" customHeight="1" spans="1:4" x14ac:dyDescent="0.25">
      <c r="A17" s="3" t="s">
        <v>38</v>
      </c>
      <c r="B17" s="9">
        <v>1.12</v>
      </c>
      <c r="C17" s="3" t="s">
        <v>39</v>
      </c>
      <c r="D17" s="3" t="s">
        <v>40</v>
      </c>
    </row>
    <row r="18" ht="43" customHeight="1" spans="1:4" x14ac:dyDescent="0.25">
      <c r="A18" s="3" t="s">
        <v>41</v>
      </c>
      <c r="B18" s="9">
        <v>0.65</v>
      </c>
      <c r="C18" s="3" t="s">
        <v>39</v>
      </c>
      <c r="D18" s="3" t="s">
        <v>42</v>
      </c>
    </row>
    <row r="19" ht="43" customHeight="1" spans="1:4" x14ac:dyDescent="0.25">
      <c r="A19" s="3" t="s">
        <v>43</v>
      </c>
      <c r="B19" s="9">
        <v>0.22</v>
      </c>
      <c r="C19" s="3" t="s">
        <v>44</v>
      </c>
      <c r="D19" s="3" t="s">
        <v>45</v>
      </c>
    </row>
    <row r="20" ht="43" customHeight="1" spans="1:4" x14ac:dyDescent="0.25">
      <c r="A20" s="3" t="s">
        <v>46</v>
      </c>
      <c r="B20" s="5">
        <v>0</v>
      </c>
      <c r="C20" s="3" t="s">
        <v>47</v>
      </c>
      <c r="D20" s="3" t="s">
        <v>48</v>
      </c>
    </row>
    <row r="21" ht="43" customHeight="1" spans="1:4" x14ac:dyDescent="0.25">
      <c r="A21" s="3" t="s">
        <v>49</v>
      </c>
      <c r="B21" s="4" t="s">
        <v>50</v>
      </c>
      <c r="C21" s="3" t="s">
        <v>7</v>
      </c>
      <c r="D21" s="3" t="s">
        <v>51</v>
      </c>
    </row>
    <row r="22" ht="43" customHeight="1" spans="1:4" x14ac:dyDescent="0.25">
      <c r="A22" s="3" t="s">
        <v>52</v>
      </c>
      <c r="B22" s="4" t="s">
        <v>50</v>
      </c>
      <c r="C22" s="3" t="s">
        <v>7</v>
      </c>
      <c r="D22" s="3" t="s">
        <v>53</v>
      </c>
    </row>
    <row r="23" ht="43" customHeight="1" spans="1:4" x14ac:dyDescent="0.25">
      <c r="A23" s="3" t="s">
        <v>54</v>
      </c>
      <c r="B23" s="4" t="s">
        <v>50</v>
      </c>
      <c r="C23" s="3" t="s">
        <v>7</v>
      </c>
      <c r="D23" s="3" t="s">
        <v>55</v>
      </c>
    </row>
    <row r="24" ht="43" customHeight="1" spans="1:4" x14ac:dyDescent="0.25">
      <c r="A24" s="3" t="s">
        <v>56</v>
      </c>
      <c r="B24" s="4" t="s">
        <v>57</v>
      </c>
      <c r="C24" s="3" t="s">
        <v>7</v>
      </c>
      <c r="D24" s="3" t="s">
        <v>58</v>
      </c>
    </row>
    <row r="25" ht="43" customHeight="1" spans="1:4" x14ac:dyDescent="0.25">
      <c r="A25" s="3" t="s">
        <v>59</v>
      </c>
      <c r="B25" s="4" t="s">
        <v>60</v>
      </c>
      <c r="C25" s="3" t="s">
        <v>7</v>
      </c>
      <c r="D25" s="3" t="s">
        <v>61</v>
      </c>
    </row>
    <row r="26" ht="43" customHeight="1" spans="1:4" x14ac:dyDescent="0.25">
      <c r="A26" s="3" t="s">
        <v>62</v>
      </c>
      <c r="B26" s="5">
        <v>1</v>
      </c>
      <c r="C26" s="3" t="s">
        <v>7</v>
      </c>
      <c r="D26" s="3" t="s">
        <v>63</v>
      </c>
    </row>
    <row r="27" ht="43" customHeight="1" spans="1:4" x14ac:dyDescent="0.25">
      <c r="A27" s="3" t="s">
        <v>64</v>
      </c>
      <c r="B27" s="4" t="s">
        <v>65</v>
      </c>
      <c r="C27" s="3" t="s">
        <v>7</v>
      </c>
      <c r="D27" s="3" t="s">
        <v>66</v>
      </c>
    </row>
    <row r="28" ht="43" customHeight="1" spans="1:4" x14ac:dyDescent="0.25">
      <c r="A28" s="3" t="s">
        <v>67</v>
      </c>
      <c r="B28" s="5">
        <v>0</v>
      </c>
      <c r="C28" s="3" t="s">
        <v>68</v>
      </c>
      <c r="D28" s="3" t="s">
        <v>69</v>
      </c>
    </row>
    <row r="29" ht="43" customHeight="1" spans="1:4" x14ac:dyDescent="0.25">
      <c r="A29" s="3" t="s">
        <v>70</v>
      </c>
      <c r="B29" s="4" t="s">
        <v>71</v>
      </c>
      <c r="C29" s="3" t="s">
        <v>7</v>
      </c>
      <c r="D29" s="3" t="s">
        <v>72</v>
      </c>
    </row>
    <row r="31" ht="43" customHeight="1" spans="1:4" x14ac:dyDescent="0.25">
      <c r="A31" s="2" t="s">
        <v>73</v>
      </c>
      <c r="B31" s="2" t="s">
        <v>74</v>
      </c>
      <c r="C31" s="2" t="s">
        <v>75</v>
      </c>
      <c r="D31" s="2" t="s">
        <v>76</v>
      </c>
    </row>
    <row r="32" ht="43" customHeight="1" spans="1:4" x14ac:dyDescent="0.25">
      <c r="A32" s="3" t="s">
        <v>77</v>
      </c>
      <c r="B32" s="3" t="s">
        <v>78</v>
      </c>
      <c r="C32" s="10">
        <v>46300</v>
      </c>
      <c r="D32" s="3" t="s">
        <v>79</v>
      </c>
    </row>
    <row r="33" ht="43" customHeight="1" spans="1:4" x14ac:dyDescent="0.25">
      <c r="A33" s="3" t="s">
        <v>80</v>
      </c>
      <c r="B33" s="3" t="s">
        <v>81</v>
      </c>
      <c r="C33" s="10">
        <v>46300</v>
      </c>
      <c r="D33" s="3" t="s">
        <v>82</v>
      </c>
    </row>
    <row r="34" ht="43" customHeight="1" spans="1:4" x14ac:dyDescent="0.25">
      <c r="A34" s="3" t="s">
        <v>83</v>
      </c>
      <c r="B34" s="3" t="s">
        <v>84</v>
      </c>
      <c r="C34" s="10">
        <v>46300</v>
      </c>
      <c r="D34" s="3" t="s">
        <v>85</v>
      </c>
    </row>
    <row r="35" ht="43" customHeight="1" spans="1:4" x14ac:dyDescent="0.25">
      <c r="A35" s="3" t="s">
        <v>86</v>
      </c>
      <c r="B35" s="3" t="s">
        <v>87</v>
      </c>
      <c r="C35" s="10">
        <v>46300</v>
      </c>
      <c r="D35" s="3" t="s">
        <v>88</v>
      </c>
    </row>
    <row r="37" ht="43" customHeight="1" spans="1:4" x14ac:dyDescent="0.25">
      <c r="A37" s="3" t="s">
        <v>89</v>
      </c>
      <c r="B37" s="3" t="s">
        <v>90</v>
      </c>
      <c r="C37" s="3" t="s">
        <v>7</v>
      </c>
      <c r="D37" s="3" t="s">
        <v>91</v>
      </c>
    </row>
    <row r="38" ht="43" customHeight="1" spans="1:4" x14ac:dyDescent="0.25">
      <c r="A38" s="3" t="s">
        <v>92</v>
      </c>
      <c r="B38" s="3" t="s">
        <v>93</v>
      </c>
      <c r="C38" s="3" t="s">
        <v>7</v>
      </c>
      <c r="D38" s="3" t="s">
        <v>94</v>
      </c>
    </row>
  </sheetData>
  <conditionalFormatting sqref="B7:B28">
    <cfRule type="containsText" dxfId="0" priority="1">
      <formula>NOT(ISERROR(SEARCH("неполный",B7)))</formula>
    </cfRule>
  </conditionalFormatting>
  <dataValidations count="2">
    <dataValidation type="list" showErrorMessage="1" error="Выберите 0 или 1" sqref="B20">
      <formula1>"0,1"</formula1>
    </dataValidation>
    <dataValidation type="whole" operator="greaterThanOrEqual" sqref="B28">
      <formula1>0</formula1>
    </dataValidation>
  </dataValidations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Учебный ресурсный расчёт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"/>
  <sheetViews>
    <sheetView workbookViewId="0" showGridLines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24" customWidth="1"/>
    <col min="3" max="3" width="45" customWidth="1"/>
    <col min="4" max="4" width="30" customWidth="1"/>
    <col min="5" max="5" width="13" customWidth="1"/>
    <col min="6" max="6" width="14" customWidth="1"/>
    <col min="7" max="8" width="13" customWidth="1"/>
    <col min="9" max="9" width="17" customWidth="1"/>
    <col min="10" max="10" width="18" customWidth="1"/>
    <col min="11" max="11" width="29" customWidth="1"/>
    <col min="12" max="12" width="20" customWidth="1"/>
  </cols>
  <sheetData>
    <row r="2" ht="25" customHeight="1" spans="1:1" x14ac:dyDescent="0.25">
      <c r="A2" s="1" t="s">
        <v>95</v>
      </c>
    </row>
    <row r="4" ht="36" customHeight="1" spans="1:12" x14ac:dyDescent="0.25">
      <c r="A4" s="2" t="s">
        <v>96</v>
      </c>
      <c r="B4" s="2" t="s">
        <v>97</v>
      </c>
      <c r="C4" s="2" t="s">
        <v>98</v>
      </c>
      <c r="D4" s="2" t="s">
        <v>99</v>
      </c>
      <c r="E4" s="2" t="s">
        <v>3</v>
      </c>
      <c r="F4" s="2" t="s">
        <v>100</v>
      </c>
      <c r="G4" s="2" t="s">
        <v>101</v>
      </c>
      <c r="H4" s="2" t="s">
        <v>102</v>
      </c>
      <c r="I4" s="2" t="s">
        <v>103</v>
      </c>
      <c r="J4" s="2" t="s">
        <v>104</v>
      </c>
      <c r="K4" s="2" t="s">
        <v>105</v>
      </c>
      <c r="L4" s="2" t="s">
        <v>106</v>
      </c>
    </row>
    <row r="5" ht="66" customHeight="1" spans="1:12" x14ac:dyDescent="0.25">
      <c r="A5" s="3" t="s">
        <v>18</v>
      </c>
      <c r="B5" s="3" t="s">
        <v>107</v>
      </c>
      <c r="C5" s="3" t="s">
        <v>108</v>
      </c>
      <c r="D5" s="3" t="s">
        <v>109</v>
      </c>
      <c r="E5" s="3" t="s">
        <v>71</v>
      </c>
      <c r="F5" s="11">
        <v>16.64</v>
      </c>
      <c r="G5" s="12">
        <f>IF(AND(ISNUMBER('Исходные'!B7),'Исходные'!B7&gt;0,'Исходные'!B8=100,'Исходные'!B9="11-01-049-01"),'Исходные'!B7/'Исходные'!B8,"неполный")</f>
        <v>0.25</v>
      </c>
      <c r="H5" s="13">
        <f>IF(AND(ISNUMBER('Исходные'!B26),'Исходные'!B26&gt;0),'Исходные'!B26,"неполный")</f>
        <v>1</v>
      </c>
      <c r="I5" s="13">
        <f>IF(COUNT(F5:H5)=3,F5*G5*H5,"неполный")</f>
        <v>4.16</v>
      </c>
      <c r="J5" s="14">
        <f>IF(AND(ISNUMBER('Исходные'!B12),'Исходные'!B12&gt;0),'Исходные'!B12,"неполный")</f>
        <v>600</v>
      </c>
      <c r="K5" s="11" t="str">
        <f>IF('Исходные'!B24="","нет источника",'Исходные'!B24)</f>
        <v>Цены заданы условием</v>
      </c>
      <c r="L5" s="11" t="str">
        <f>IF(AND(COUNT(G5:J5)=4,E5="чел.-ч",K5&lt;&gt;"нет источника",B14='Исходные'!B11,C14='Исходные'!B23,D14='Исходные'!B21,E14='Исходные'!B22,B14&lt;&gt;"",C14&lt;&gt;"",D14&lt;&gt;"",E14&lt;&gt;""),"заполнена","неполный")</f>
        <v>заполнена</v>
      </c>
    </row>
    <row r="6" ht="66" customHeight="1" spans="1:12" x14ac:dyDescent="0.25">
      <c r="A6" s="3" t="s">
        <v>18</v>
      </c>
      <c r="B6" s="3" t="s">
        <v>110</v>
      </c>
      <c r="C6" s="3" t="s">
        <v>111</v>
      </c>
      <c r="D6" s="3" t="s">
        <v>109</v>
      </c>
      <c r="E6" s="3" t="s">
        <v>112</v>
      </c>
      <c r="F6" s="11">
        <v>6.876</v>
      </c>
      <c r="G6" s="12">
        <f>IF(AND(ISNUMBER('Исходные'!B7),'Исходные'!B7&gt;0,'Исходные'!B8=100,'Исходные'!B9="11-01-049-01"),'Исходные'!B7/'Исходные'!B8,"неполный")</f>
        <v>0.25</v>
      </c>
      <c r="H6" s="13">
        <f>IF(AND(ISNUMBER('Исходные'!B26),'Исходные'!B26&gt;0),'Исходные'!B26,"неполный")</f>
        <v>1</v>
      </c>
      <c r="I6" s="13">
        <f>IF(COUNT(F6:H6)=3,F6*G6*H6,"неполный")</f>
        <v>1.719</v>
      </c>
      <c r="J6" s="14">
        <f>IF(AND(ISNUMBER('Исходные'!B13),'Исходные'!B13&gt;0),'Исходные'!B13,"неполный")</f>
        <v>8</v>
      </c>
      <c r="K6" s="11" t="str">
        <f>IF('Исходные'!B24="","нет источника",'Исходные'!B24)</f>
        <v>Цены заданы условием</v>
      </c>
      <c r="L6" s="11" t="str">
        <f>IF(AND(COUNT(G6:J6)=4,E6="кВт-ч",K6&lt;&gt;"нет источника",B15='Исходные'!B11,C15='Исходные'!B23,D15='Исходные'!B21,E15='Исходные'!B22,B15&lt;&gt;"",C15&lt;&gt;"",D15&lt;&gt;"",E15&lt;&gt;""),"заполнена","неполный")</f>
        <v>заполнена</v>
      </c>
    </row>
    <row r="7" ht="66" customHeight="1" spans="1:12" x14ac:dyDescent="0.25">
      <c r="A7" s="3" t="s">
        <v>18</v>
      </c>
      <c r="B7" s="3" t="s">
        <v>113</v>
      </c>
      <c r="C7" s="3" t="s">
        <v>114</v>
      </c>
      <c r="D7" s="3" t="s">
        <v>109</v>
      </c>
      <c r="E7" s="3" t="s">
        <v>115</v>
      </c>
      <c r="F7" s="11">
        <v>6.7</v>
      </c>
      <c r="G7" s="12">
        <f>IF(AND(ISNUMBER('Исходные'!B7),'Исходные'!B7&gt;0,'Исходные'!B8=100,'Исходные'!B9="11-01-049-01"),'Исходные'!B7/'Исходные'!B8,"неполный")</f>
        <v>0.25</v>
      </c>
      <c r="H7" s="13">
        <f>IF(AND(ISNUMBER('Исходные'!B26),'Исходные'!B26&gt;0),'Исходные'!B26,"неполный")</f>
        <v>1</v>
      </c>
      <c r="I7" s="13">
        <f>IF(COUNT(F7:H7)=3,F7*G7*H7,"неполный")</f>
        <v>1.675</v>
      </c>
      <c r="J7" s="14">
        <f>IF(AND(ISNUMBER('Исходные'!B14),'Исходные'!B14&gt;0),'Исходные'!B14,"неполный")</f>
        <v>300</v>
      </c>
      <c r="K7" s="11" t="str">
        <f>IF('Исходные'!B24="","нет источника",'Исходные'!B24)</f>
        <v>Цены заданы условием</v>
      </c>
      <c r="L7" s="11" t="str">
        <f>IF(AND(COUNT(G7:J7)=4,E7="100 шт",K7&lt;&gt;"нет источника",B16='Исходные'!B11,C16='Исходные'!B23,D16='Исходные'!B21,E16='Исходные'!B22,B16&lt;&gt;"",C16&lt;&gt;"",D16&lt;&gt;"",E16&lt;&gt;""),"заполнена","неполный")</f>
        <v>заполнена</v>
      </c>
    </row>
    <row r="8" ht="66" customHeight="1" spans="1:12" x14ac:dyDescent="0.25">
      <c r="A8" s="3" t="s">
        <v>18</v>
      </c>
      <c r="C8" s="3" t="s">
        <v>116</v>
      </c>
      <c r="D8" s="3" t="s">
        <v>117</v>
      </c>
      <c r="E8" s="3" t="s">
        <v>13</v>
      </c>
      <c r="G8" s="12">
        <f>IF(AND(ISNUMBER('Исходные'!B7),'Исходные'!B7&gt;0,'Исходные'!B8=100,'Исходные'!B9="11-01-049-01"),'Исходные'!B7/'Исходные'!B8,"неполный")</f>
        <v>0.25</v>
      </c>
      <c r="H8" s="13">
        <f>IF(AND(ISNUMBER('Исходные'!B26),'Исходные'!B26&gt;0),'Исходные'!B26,"неполный")</f>
        <v>1</v>
      </c>
      <c r="I8" s="13">
        <f>IF(AND(ISNUMBER('Исходные'!B15),'Исходные'!B15&gt;0),'Исходные'!B15,"неполный")</f>
        <v>25.5</v>
      </c>
      <c r="J8" s="14">
        <f>IF(AND(ISNUMBER('Исходные'!B16),'Исходные'!B16&gt;0),'Исходные'!B16,"неполный")</f>
        <v>200</v>
      </c>
      <c r="K8" s="11" t="str">
        <f>IF('Исходные'!B24="","нет источника",'Исходные'!B24)</f>
        <v>Цены заданы условием</v>
      </c>
      <c r="L8" s="11" t="str">
        <f>IF(AND(COUNT(G8:J8)=4,E8="м",K8&lt;&gt;"нет источника",B17='Исходные'!B11,C17='Исходные'!B23,D17='Исходные'!B21,E17='Исходные'!B22,B17&lt;&gt;"",C17&lt;&gt;"",D17&lt;&gt;"",E17&lt;&gt;""),"заполнена","неполный")</f>
        <v>заполнена</v>
      </c>
    </row>
    <row r="13" ht="43" customHeight="1" spans="1:9" x14ac:dyDescent="0.25">
      <c r="A13" s="2" t="s">
        <v>118</v>
      </c>
      <c r="B13" s="2" t="s">
        <v>23</v>
      </c>
      <c r="C13" s="2" t="s">
        <v>119</v>
      </c>
      <c r="D13" s="2" t="s">
        <v>120</v>
      </c>
      <c r="E13" s="2" t="s">
        <v>52</v>
      </c>
      <c r="F13" s="2" t="s">
        <v>121</v>
      </c>
      <c r="G13" s="2" t="s">
        <v>122</v>
      </c>
      <c r="H13" s="2" t="s">
        <v>123</v>
      </c>
      <c r="I13" s="2" t="s">
        <v>124</v>
      </c>
    </row>
    <row r="14" ht="43" customHeight="1" spans="1:9" x14ac:dyDescent="0.25">
      <c r="A14" s="3" t="s">
        <v>107</v>
      </c>
      <c r="B14" s="15">
        <f>'Исходные'!B11</f>
        <v>46300</v>
      </c>
      <c r="C14" s="11" t="str">
        <f>'Исходные'!B23</f>
        <v>Учебное условие</v>
      </c>
      <c r="D14" s="11" t="str">
        <f>'Исходные'!B21</f>
        <v>Учебное условие</v>
      </c>
      <c r="E14" s="11" t="str">
        <f>'Исходные'!B22</f>
        <v>Учебное условие</v>
      </c>
      <c r="F14" s="3" t="s">
        <v>125</v>
      </c>
      <c r="G14" s="3" t="s">
        <v>126</v>
      </c>
      <c r="H14" s="3" t="s">
        <v>127</v>
      </c>
      <c r="I14" s="3" t="s">
        <v>128</v>
      </c>
    </row>
    <row r="15" ht="43" customHeight="1" spans="1:9" x14ac:dyDescent="0.25">
      <c r="A15" s="3" t="s">
        <v>110</v>
      </c>
      <c r="B15" s="15">
        <f>'Исходные'!B11</f>
        <v>46300</v>
      </c>
      <c r="C15" s="11" t="str">
        <f>'Исходные'!B23</f>
        <v>Учебное условие</v>
      </c>
      <c r="D15" s="11" t="str">
        <f>'Исходные'!B21</f>
        <v>Учебное условие</v>
      </c>
      <c r="E15" s="11" t="str">
        <f>'Исходные'!B22</f>
        <v>Учебное условие</v>
      </c>
      <c r="F15" s="3" t="s">
        <v>125</v>
      </c>
      <c r="G15" s="3" t="s">
        <v>126</v>
      </c>
      <c r="H15" s="3" t="s">
        <v>127</v>
      </c>
      <c r="I15" s="3" t="s">
        <v>128</v>
      </c>
    </row>
    <row r="16" ht="43" customHeight="1" spans="1:9" x14ac:dyDescent="0.25">
      <c r="A16" s="3" t="s">
        <v>113</v>
      </c>
      <c r="B16" s="15">
        <f>'Исходные'!B11</f>
        <v>46300</v>
      </c>
      <c r="C16" s="11" t="str">
        <f>'Исходные'!B23</f>
        <v>Учебное условие</v>
      </c>
      <c r="D16" s="11" t="str">
        <f>'Исходные'!B21</f>
        <v>Учебное условие</v>
      </c>
      <c r="E16" s="11" t="str">
        <f>'Исходные'!B22</f>
        <v>Учебное условие</v>
      </c>
      <c r="F16" s="3" t="s">
        <v>125</v>
      </c>
      <c r="G16" s="3" t="s">
        <v>129</v>
      </c>
      <c r="H16" s="3" t="s">
        <v>130</v>
      </c>
      <c r="I16" s="3" t="s">
        <v>128</v>
      </c>
    </row>
    <row r="17" ht="43" customHeight="1" spans="1:9" x14ac:dyDescent="0.25">
      <c r="A17" s="3" t="s">
        <v>131</v>
      </c>
      <c r="B17" s="15">
        <f>'Исходные'!B11</f>
        <v>46300</v>
      </c>
      <c r="C17" s="11" t="str">
        <f>'Исходные'!B23</f>
        <v>Учебное условие</v>
      </c>
      <c r="D17" s="11" t="str">
        <f>'Исходные'!B21</f>
        <v>Учебное условие</v>
      </c>
      <c r="E17" s="11" t="str">
        <f>'Исходные'!B22</f>
        <v>Учебное условие</v>
      </c>
      <c r="F17" s="3" t="s">
        <v>125</v>
      </c>
      <c r="G17" s="3" t="s">
        <v>129</v>
      </c>
      <c r="H17" s="3" t="s">
        <v>130</v>
      </c>
      <c r="I17" s="3" t="s">
        <v>128</v>
      </c>
    </row>
    <row r="20" ht="43" customHeight="1" spans="1:12" x14ac:dyDescent="0.25">
      <c r="A20" s="3" t="s">
        <v>132</v>
      </c>
      <c r="B20" s="3" t="s">
        <v>133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43" customHeight="1" spans="1:12" x14ac:dyDescent="0.25">
      <c r="A21" s="3" t="s">
        <v>131</v>
      </c>
      <c r="B21" s="3" t="s">
        <v>134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43" customHeight="1" spans="1:12" x14ac:dyDescent="0.25">
      <c r="A22" s="3" t="s">
        <v>135</v>
      </c>
      <c r="B22" s="3" t="s">
        <v>136</v>
      </c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autoFilter ref="A4:L8"/>
  <mergeCells count="3">
    <mergeCell ref="B20:L20"/>
    <mergeCell ref="B21:L21"/>
    <mergeCell ref="B22:L22"/>
  </mergeCells>
  <conditionalFormatting sqref="L5:L8">
    <cfRule type="containsText" dxfId="1" priority="1">
      <formula>NOT(ISERROR(SEARCH("неполный",L5)))</formula>
    </cfRule>
  </conditionalFormatting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Учебный ресурсный расчёт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6"/>
  <sheetViews>
    <sheetView workbookViewId="0" showGridLines="0"/>
  </sheetViews>
  <sheetFormatPr defaultRowHeight="15" outlineLevelRow="0" outlineLevelCol="0" x14ac:dyDescent="55"/>
  <cols>
    <col min="1" max="1" width="49" customWidth="1"/>
    <col min="2" max="2" width="20" customWidth="1"/>
    <col min="3" max="3" width="24" customWidth="1"/>
    <col min="4" max="4" width="26" customWidth="1"/>
    <col min="5" max="5" width="72" customWidth="1"/>
  </cols>
  <sheetData>
    <row r="2" ht="25" customHeight="1" spans="1:1" x14ac:dyDescent="0.25">
      <c r="A2" s="1" t="s">
        <v>137</v>
      </c>
    </row>
    <row r="4" ht="36" customHeight="1" spans="1:5" x14ac:dyDescent="0.25">
      <c r="A4" s="2" t="s">
        <v>138</v>
      </c>
      <c r="B4" s="2" t="s">
        <v>139</v>
      </c>
      <c r="C4" s="2" t="s">
        <v>140</v>
      </c>
      <c r="D4" s="2" t="s">
        <v>141</v>
      </c>
      <c r="E4" s="2" t="s">
        <v>142</v>
      </c>
    </row>
    <row r="5" ht="43" customHeight="1" spans="1:5" x14ac:dyDescent="0.25">
      <c r="A5" s="3" t="s">
        <v>108</v>
      </c>
      <c r="B5" s="13">
        <f>'Ресурсы'!I5</f>
        <v>4.16</v>
      </c>
      <c r="C5" s="14">
        <f>'Ресурсы'!J5</f>
        <v>600</v>
      </c>
      <c r="D5" s="14">
        <f>IF('Ресурсы'!L5="заполнена",ROUND(B5*C5,2),"неполный")</f>
        <v>2496</v>
      </c>
      <c r="E5" s="3" t="s">
        <v>143</v>
      </c>
    </row>
    <row r="6" ht="43" customHeight="1" spans="1:5" x14ac:dyDescent="0.25">
      <c r="A6" s="3" t="s">
        <v>111</v>
      </c>
      <c r="B6" s="13">
        <f>'Ресурсы'!I6</f>
        <v>1.719</v>
      </c>
      <c r="C6" s="14">
        <f>'Ресурсы'!J6</f>
        <v>8</v>
      </c>
      <c r="D6" s="14">
        <f>IF('Ресурсы'!L6="заполнена",ROUND(B6*C6,2),"неполный")</f>
        <v>13.75</v>
      </c>
      <c r="E6" s="3" t="s">
        <v>144</v>
      </c>
    </row>
    <row r="7" ht="43" customHeight="1" spans="1:5" x14ac:dyDescent="0.25">
      <c r="A7" s="3" t="s">
        <v>114</v>
      </c>
      <c r="B7" s="13">
        <f>'Ресурсы'!I7</f>
        <v>1.675</v>
      </c>
      <c r="C7" s="14">
        <f>'Ресурсы'!J7</f>
        <v>300</v>
      </c>
      <c r="D7" s="14">
        <f>IF('Ресурсы'!L7="заполнена",ROUND(B7*C7,2),"неполный")</f>
        <v>502.5</v>
      </c>
      <c r="E7" s="3" t="s">
        <v>145</v>
      </c>
    </row>
    <row r="8" ht="43" customHeight="1" spans="1:5" x14ac:dyDescent="0.25">
      <c r="A8" s="3" t="s">
        <v>116</v>
      </c>
      <c r="B8" s="13">
        <f>'Ресурсы'!I8</f>
        <v>25.5</v>
      </c>
      <c r="C8" s="14">
        <f>'Ресурсы'!J8</f>
        <v>200</v>
      </c>
      <c r="D8" s="14">
        <f>IF('Ресурсы'!L8="заполнена",ROUND(B8*C8,2),"неполный")</f>
        <v>5100</v>
      </c>
      <c r="E8" s="3" t="s">
        <v>146</v>
      </c>
    </row>
    <row r="10" ht="43" customHeight="1" spans="1:5" x14ac:dyDescent="0.25">
      <c r="A10" s="3" t="s">
        <v>147</v>
      </c>
      <c r="D10" s="14">
        <f>D5</f>
        <v>2496</v>
      </c>
      <c r="E10" s="3" t="s">
        <v>148</v>
      </c>
    </row>
    <row r="11" ht="43" customHeight="1" spans="1:5" x14ac:dyDescent="0.25">
      <c r="A11" s="3" t="s">
        <v>149</v>
      </c>
      <c r="D11" s="11">
        <v>0</v>
      </c>
      <c r="E11" s="3" t="s">
        <v>150</v>
      </c>
    </row>
    <row r="12" ht="43" customHeight="1" spans="1:5" x14ac:dyDescent="0.25">
      <c r="A12" s="3" t="s">
        <v>151</v>
      </c>
      <c r="D12" s="11">
        <v>0</v>
      </c>
      <c r="E12" s="3" t="s">
        <v>152</v>
      </c>
    </row>
    <row r="13" ht="43" customHeight="1" spans="1:5" x14ac:dyDescent="0.25">
      <c r="A13" s="3" t="s">
        <v>153</v>
      </c>
      <c r="D13" s="14">
        <f>IF(COUNT(D6:D8)=3,SUM(D6:D8),"неполный")</f>
        <v>5616.25</v>
      </c>
      <c r="E13" s="3" t="s">
        <v>154</v>
      </c>
    </row>
    <row r="14" ht="43" customHeight="1" spans="1:5" x14ac:dyDescent="0.25">
      <c r="A14" s="3" t="s">
        <v>155</v>
      </c>
      <c r="D14" s="14">
        <f>IF(COUNT(D10:D13)=4,SUM(D10,D12,D13),"неполный")</f>
        <v>8112.25</v>
      </c>
      <c r="E14" s="3" t="s">
        <v>156</v>
      </c>
    </row>
    <row r="15" ht="43" customHeight="1" spans="1:5" x14ac:dyDescent="0.25">
      <c r="A15" s="3" t="s">
        <v>157</v>
      </c>
      <c r="D15" s="14">
        <f>IF(COUNT(D10:D11)=2,SUM(D10:D11),"неполный")</f>
        <v>2496</v>
      </c>
      <c r="E15" s="3" t="s">
        <v>158</v>
      </c>
    </row>
    <row r="16" ht="43" customHeight="1" spans="1:5" x14ac:dyDescent="0.25">
      <c r="A16" s="3" t="s">
        <v>77</v>
      </c>
      <c r="D16" s="14">
        <f>IF(AND(ISNUMBER(D15),ISNUMBER('Исходные'!B17),'Исходные'!B17&gt;0),ROUND(D15*'Исходные'!B17,2),"неполный")</f>
        <v>2795.52</v>
      </c>
      <c r="E16" s="3" t="s">
        <v>159</v>
      </c>
    </row>
    <row r="17" ht="43" customHeight="1" spans="1:5" x14ac:dyDescent="0.25">
      <c r="A17" s="3" t="s">
        <v>80</v>
      </c>
      <c r="D17" s="14">
        <f>IF(AND(ISNUMBER(D15),ISNUMBER('Исходные'!B18),'Исходные'!B18&gt;0),ROUND(D15*'Исходные'!B18,2),"неполный")</f>
        <v>1622.4</v>
      </c>
      <c r="E17" s="3" t="s">
        <v>160</v>
      </c>
    </row>
    <row r="18" ht="43" customHeight="1" spans="1:5" x14ac:dyDescent="0.25">
      <c r="A18" s="16" t="s">
        <v>161</v>
      </c>
      <c r="B18" s="17"/>
      <c r="C18" s="17"/>
      <c r="D18" s="18">
        <f>IF(AND(COUNT(D14,D16,D17)=3,'Исходные'!B28=0),SUM(D14,D16,D17),"неполный")</f>
        <v>12530.17</v>
      </c>
      <c r="E18" s="16" t="s">
        <v>162</v>
      </c>
    </row>
    <row r="20" ht="43" customHeight="1" spans="1:5" x14ac:dyDescent="0.25">
      <c r="A20" s="3" t="s">
        <v>163</v>
      </c>
      <c r="D20" s="14">
        <f>IF('Исходные'!B20=0,0,IF(AND('Исходные'!B20=1,ISNUMBER(D18),ISNUMBER('Исходные'!B19),'Исходные'!B19&gt;=0),ROUND(D18*'Исходные'!B19,2),"неполный"))</f>
        <v>0</v>
      </c>
      <c r="E20" s="3" t="s">
        <v>164</v>
      </c>
    </row>
    <row r="21" ht="43" customHeight="1" spans="1:5" x14ac:dyDescent="0.25">
      <c r="A21" s="16" t="s">
        <v>165</v>
      </c>
      <c r="B21" s="17"/>
      <c r="C21" s="17"/>
      <c r="D21" s="18">
        <f>IF(COUNT(D18,D20)=2,SUM(D18,D20),"неполный")</f>
        <v>12530.17</v>
      </c>
      <c r="E21" s="16" t="s">
        <v>166</v>
      </c>
    </row>
    <row r="23" ht="43" customHeight="1" spans="1:5" x14ac:dyDescent="0.25">
      <c r="A23" s="3" t="s">
        <v>167</v>
      </c>
      <c r="D23" s="11" t="str">
        <f>IF(ISNUMBER(D18),"полный учебный расчёт","неполный")</f>
        <v>полный учебный расчёт</v>
      </c>
      <c r="E23" s="3" t="s">
        <v>168</v>
      </c>
    </row>
    <row r="25" ht="43" customHeight="1" spans="1:5" x14ac:dyDescent="0.25">
      <c r="A25" s="3" t="s">
        <v>169</v>
      </c>
      <c r="B25" s="3" t="s">
        <v>170</v>
      </c>
      <c r="C25" s="3"/>
      <c r="D25" s="3"/>
      <c r="E25" s="3"/>
    </row>
    <row r="26" ht="43" customHeight="1" spans="1:5" x14ac:dyDescent="0.25">
      <c r="A26" s="3" t="s">
        <v>171</v>
      </c>
      <c r="B26" s="3" t="s">
        <v>172</v>
      </c>
      <c r="C26" s="3"/>
      <c r="D26" s="3"/>
      <c r="E26" s="3"/>
    </row>
  </sheetData>
  <mergeCells count="2">
    <mergeCell ref="B25:E25"/>
    <mergeCell ref="B26:E26"/>
  </mergeCells>
  <conditionalFormatting sqref="D5:D23">
    <cfRule type="containsText" dxfId="2" priority="1">
      <formula>NOT(ISERROR(SEARCH("неполный",D5)))</formula>
    </cfRule>
  </conditionalFormatting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Учебный ресурсный расчёт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32" customWidth="1"/>
    <col min="3" max="3" width="89" customWidth="1"/>
  </cols>
  <sheetData>
    <row r="2" ht="25" customHeight="1" spans="1:1" x14ac:dyDescent="0.25">
      <c r="A2" s="1" t="s">
        <v>173</v>
      </c>
    </row>
    <row r="4" ht="36" customHeight="1" spans="1:3" x14ac:dyDescent="0.25">
      <c r="A4" s="2" t="s">
        <v>174</v>
      </c>
      <c r="B4" s="2" t="s">
        <v>175</v>
      </c>
      <c r="C4" s="2" t="s">
        <v>176</v>
      </c>
    </row>
    <row r="5" ht="43" customHeight="1" spans="1:3" x14ac:dyDescent="0.25">
      <c r="A5" s="3" t="s">
        <v>177</v>
      </c>
      <c r="B5" s="11" t="str">
        <f>IF(ISNUMBER('Расчёт'!D18),"проверки пройдены","неполный")</f>
        <v>проверки пройдены</v>
      </c>
      <c r="C5" s="3" t="s">
        <v>178</v>
      </c>
    </row>
    <row r="6" ht="43" customHeight="1" spans="1:3" x14ac:dyDescent="0.25">
      <c r="A6" s="3" t="s">
        <v>179</v>
      </c>
      <c r="B6" s="11" t="str">
        <f>IF(COUNT('Ресурсы'!J5:J8)=4,"ценовые строки заполнены","нет обязательной цены")</f>
        <v>ценовые строки заполнены</v>
      </c>
      <c r="C6" s="3" t="s">
        <v>180</v>
      </c>
    </row>
    <row r="7" ht="43" customHeight="1" spans="1:3" x14ac:dyDescent="0.25">
      <c r="A7" s="3" t="s">
        <v>181</v>
      </c>
      <c r="B7" s="11" t="str">
        <f>IF(AND(ISNUMBER('Исходные'!B15),'Исходные'!B15&gt;0),"количество задано","нет проектного количества")</f>
        <v>количество задано</v>
      </c>
      <c r="C7" s="3" t="s">
        <v>182</v>
      </c>
    </row>
    <row r="8" ht="43" customHeight="1" spans="1:3" x14ac:dyDescent="0.25">
      <c r="A8" s="3" t="s">
        <v>183</v>
      </c>
      <c r="B8" s="11" t="str">
        <f>IF(AND('Ресурсы'!L5="заполнена",'Ресурсы'!L6="заполнена",'Ресурсы'!L7="заполнена",'Ресурсы'!L8="заполнена"),"совпадают","проверить строки ресурсов")</f>
        <v>совпадают</v>
      </c>
      <c r="C8" s="3" t="s">
        <v>184</v>
      </c>
    </row>
    <row r="9" ht="43" customHeight="1" spans="1:3" x14ac:dyDescent="0.25">
      <c r="A9" s="3" t="s">
        <v>185</v>
      </c>
      <c r="B9" s="11" t="str">
        <f>IF(AND('Исходные'!B8=100,'Исходные'!B9="11-01-049-01"),"100 м, шифр совпадает","неверный измеритель или шифр")</f>
        <v>100 м, шифр совпадает</v>
      </c>
      <c r="C9" s="3" t="s">
        <v>186</v>
      </c>
    </row>
    <row r="10" ht="43" customHeight="1" spans="1:3" x14ac:dyDescent="0.25">
      <c r="A10" s="3" t="s">
        <v>187</v>
      </c>
      <c r="B10" s="11" t="str">
        <f>IF('Исходные'!B28=0,"не заявлены","есть повторные операции")</f>
        <v>не заявлены</v>
      </c>
      <c r="C10" s="3" t="s">
        <v>188</v>
      </c>
    </row>
    <row r="11" ht="43" customHeight="1" spans="1:3" x14ac:dyDescent="0.25">
      <c r="A11" s="3" t="s">
        <v>189</v>
      </c>
      <c r="B11" s="14">
        <f>IF(ISNUMBER('Расчёт'!D18),ROUND('Расчёт'!D18-12530.17,2),"неполный")</f>
        <v>0</v>
      </c>
      <c r="C11" s="3" t="s">
        <v>190</v>
      </c>
    </row>
    <row r="14" ht="43" customHeight="1" spans="1:3" x14ac:dyDescent="0.25">
      <c r="A14" s="3" t="s">
        <v>191</v>
      </c>
      <c r="B14" s="3" t="s">
        <v>192</v>
      </c>
      <c r="C14" s="3"/>
    </row>
    <row r="15" ht="43" customHeight="1" spans="1:3" x14ac:dyDescent="0.25">
      <c r="A15" s="3" t="s">
        <v>193</v>
      </c>
      <c r="B15" s="3" t="s">
        <v>194</v>
      </c>
      <c r="C15" s="3"/>
    </row>
  </sheetData>
  <mergeCells count="2">
    <mergeCell ref="B14:C14"/>
    <mergeCell ref="B15:C15"/>
  </mergeCells>
  <conditionalFormatting sqref="B5:B11">
    <cfRule type="containsText" dxfId="3" priority="1">
      <formula>NOT(ISERROR(SEARCH("неполный",B5)))</formula>
    </cfRule>
  </conditionalFormatting>
  <pageMargins left="0.3" right="0.3" top="0.4" bottom="0.4" header="0.2" footer="0.2"/>
  <pageSetup paperSize="8" orientation="landscape" horizontalDpi="4294967295" verticalDpi="4294967295" scale="100" fitToWidth="1" fitToHeight="0"/>
  <headerFooter>
    <oddFooter>Сметрикс | Учебный ресурсный расчёт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</vt:lpstr>
      <vt:lpstr>Ресурсы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