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Расчёт" state="visible" r:id="rId6"/>
    <sheet sheetId="4" name="Материалы" state="visible" r:id="rId7"/>
    <sheet sheetId="5" name="Источники" state="visible" r:id="rId8"/>
  </sheets>
  <definedNames>
    <definedName name="_xlnm.Print_Area" localSheetId="0">'ВОР'!$A1:$O17</definedName>
    <definedName name="_xlnm.Print_Titles" localSheetId="0">'ВОР'!$1:$10</definedName>
    <definedName name="_xlnm.Print_Area" localSheetId="1">'Выбор норм'!$A1:$G17</definedName>
    <definedName name="_xlnm.Print_Titles" localSheetId="1">'Выбор норм'!$1:$10</definedName>
    <definedName name="_xlnm.Print_Area" localSheetId="2">'Расчёт'!$A1:$I16</definedName>
    <definedName name="_xlnm.Print_Titles" localSheetId="2">'Расчёт'!$1:$10</definedName>
    <definedName name="_xlnm.Print_Area" localSheetId="3">'Материалы'!$A1:$K23</definedName>
    <definedName name="_xlnm.Print_Titles" localSheetId="3">'Материалы'!$1:$10</definedName>
    <definedName name="_xlnm.Print_Area" localSheetId="4">'Источники'!$A1:$D17</definedName>
    <definedName name="_xlnm.Print_Titles" localSheetId="4">'Источники'!$1:$10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C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C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C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C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F11" authorId="0">
      <text>
        <r>
          <t>Источник: локальная БД ГЭСНм ФСНБ-2022, 08-02-390-01, расход труда на 100 м. Для 08-02-409-09 сумма разрядных строк 0,02 + 10,75 + 4,83. Проверено 05.10.2026.</t>
        </r>
      </text>
    </comment>
    <comment ref="F12" authorId="0">
      <text>
        <r>
          <t>Источник: локальная БД ГЭСНм ФСНБ-2022, 08-02-390-02, расход труда на 100 м. Для 08-02-409-09 сумма разрядных строк 0,02 + 10,75 + 4,83. Проверено 05.10.2026.</t>
        </r>
      </text>
    </comment>
    <comment ref="F13" authorId="0">
      <text>
        <r>
          <t>Источник: локальная БД ГЭСНм ФСНБ-2022, 08-02-399-01, расход труда на 100 м. Для 08-02-409-09 сумма разрядных строк 0,02 + 10,75 + 4,83. Проверено 05.10.2026.</t>
        </r>
      </text>
    </comment>
    <comment ref="F14" authorId="0">
      <text>
        <r>
          <t>Источник: локальная БД ГЭСНм ФСНБ-2022, 08-02-409-09, расход труда на 100 м. Для 08-02-409-09 сумма разрядных строк 0,02 + 10,75 + 4,83. Проверено 05.10.2026.</t>
        </r>
      </text>
    </comment>
    <comment ref="F15" authorId="0">
      <text>
        <r>
          <t>Источник: локальная БД ГЭСНм ФСНБ-2022, 08-02-412-02, расход труда на 100 м. Для 08-02-409-09 сумма разрядных строк 0,02 + 10,75 + 4,83. Проверено 05.10.2026.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E11" authorId="0">
      <text>
        <r>
          <t>Источник: ресурс 01.7.15.07-0022 нормы 08-02-390-01, локальная БД ФСНБ-2022; 05.10.2026.</t>
        </r>
      </text>
    </comment>
    <comment ref="E12" authorId="0">
      <text>
        <r>
          <t>Источник: ресурс 01.7.15.07-0022 нормы 08-02-390-02, локальная БД ФСНБ-2022; 05.10.2026.</t>
        </r>
      </text>
    </comment>
    <comment ref="E13" authorId="0">
      <text>
        <r>
          <t>Источник: ресурс 01.7.15.07-0152 нормы 08-02-409-09, локальная БД ФСНБ-2022; 05.10.2026.</t>
        </r>
      </text>
    </comment>
    <comment ref="E14" authorId="0">
      <text>
        <r>
          <t>Источник: ресурс 01.7.15.14-0165 нормы 08-02-390-01, локальная БД ФСНБ-2022; 05.10.2026.</t>
        </r>
      </text>
    </comment>
    <comment ref="E15" authorId="0">
      <text>
        <r>
          <t>Источник: ресурс 01.7.15.14-0165 нормы 08-02-390-02, локальная БД ФСНБ-2022; 05.10.2026.</t>
        </r>
      </text>
    </comment>
    <comment ref="H23" authorId="0">
      <text>
        <r>
          <t>Коэффициент перевода тонн в килограммы: 1000 кг в 1 т.</t>
        </r>
      </text>
    </comment>
  </commentList>
</comments>
</file>

<file path=xl/sharedStrings.xml><?xml version="1.0" encoding="utf-8"?>
<sst xmlns="http://schemas.openxmlformats.org/spreadsheetml/2006/main" count="273" uniqueCount="146">
  <si>
    <t>Учебный расчёт объёмов для проверки сметных строк</t>
  </si>
  <si>
    <t>Локальные данные ГЭСНм ФСНБ-2022, проверка 05.10.2026. Номер изменения не установлен.</t>
  </si>
  <si>
    <t>Объект</t>
  </si>
  <si>
    <t>Учебный пример: внутренние проводки административного помещения</t>
  </si>
  <si>
    <t>Дата</t>
  </si>
  <si>
    <t>05.10.2026</t>
  </si>
  <si>
    <t>Редакция</t>
  </si>
  <si>
    <t>Указать принятую нормативную редакцию; карточки локальной базы не удостоверяют все изменения 2026 года.</t>
  </si>
  <si>
    <t>Составил</t>
  </si>
  <si>
    <t>Проверил</t>
  </si>
  <si>
    <t>Заполняйте синие ячейки. Чёрные и зелёные ячейки содержат формулы. Длины проводов вводят отдельно; нормативный запас не задан.</t>
  </si>
  <si>
    <t>Технология</t>
  </si>
  <si>
    <t>Ручная укладка одножильных проводов в короб; затягивание первого многожильного провода в ПВХ-гофру.</t>
  </si>
  <si>
    <t>Пример записи: монтаж пластмассового короба 40×25 мм по стенам, 60 м. Пример не включён в формулы шаблона.</t>
  </si>
  <si>
    <t>№</t>
  </si>
  <si>
    <t>Работа</t>
  </si>
  <si>
    <t>Материал</t>
  </si>
  <si>
    <t>Ширина / диаметр, мм</t>
  </si>
  <si>
    <t>Основание</t>
  </si>
  <si>
    <t>Трасса, м</t>
  </si>
  <si>
    <t>Число проводов</t>
  </si>
  <si>
    <t>Провод 1, м</t>
  </si>
  <si>
    <t>Провод 2, м</t>
  </si>
  <si>
    <t>Провод 3, м</t>
  </si>
  <si>
    <t>Жилы</t>
  </si>
  <si>
    <t>Сечение жилы, мм²</t>
  </si>
  <si>
    <t>Роль провода</t>
  </si>
  <si>
    <t>Длина работы, м</t>
  </si>
  <si>
    <t>Источник объёма</t>
  </si>
  <si>
    <t>Монтаж короба 40×25 мм</t>
  </si>
  <si>
    <t>Пластмасса</t>
  </si>
  <si>
    <t>Стены</t>
  </si>
  <si>
    <t/>
  </si>
  <si>
    <t>Учебные данные автора</t>
  </si>
  <si>
    <t>Монтаж короба 60×40 мм</t>
  </si>
  <si>
    <t>Провод 2,5 мм² в коробе</t>
  </si>
  <si>
    <t>Провод</t>
  </si>
  <si>
    <t>Короб</t>
  </si>
  <si>
    <t>Три линии равной длины</t>
  </si>
  <si>
    <t>Монтаж гофротрубы ПВХ</t>
  </si>
  <si>
    <t>ПВХ</t>
  </si>
  <si>
    <t>Первый провод 3×1,5 мм²</t>
  </si>
  <si>
    <t>Гофра ПВХ</t>
  </si>
  <si>
    <t>Первый</t>
  </si>
  <si>
    <t>Для более трёх проводов добавьте их длины и обновите формулу суммы. Число проводов не равно числу жил.</t>
  </si>
  <si>
    <t>Все строки являются кандидатами. Формулы проверяют ввод, а применимость нормы утверждает сметчик.</t>
  </si>
  <si>
    <t>Шифр ГЭСНм</t>
  </si>
  <si>
    <t>Полное наименование из БД</t>
  </si>
  <si>
    <t>Измеритель</t>
  </si>
  <si>
    <t>Параметр</t>
  </si>
  <si>
    <t>Основание выбора</t>
  </si>
  <si>
    <t>Роль</t>
  </si>
  <si>
    <t>Контроль исходных данных</t>
  </si>
  <si>
    <t>08-02-390-01</t>
  </si>
  <si>
    <t>Короба пластмассовые: шириной до 40 мм</t>
  </si>
  <si>
    <t>100 м</t>
  </si>
  <si>
    <t>Ширина до 40 мм</t>
  </si>
  <si>
    <t>Пластмассовый короб</t>
  </si>
  <si>
    <t>Основной вариант</t>
  </si>
  <si>
    <t>08-02-390-02</t>
  </si>
  <si>
    <t>Короба пластмассовые: шириной до 63 мм</t>
  </si>
  <si>
    <t>Ширина свыше 40 до 63 мм</t>
  </si>
  <si>
    <t>08-02-399-01</t>
  </si>
  <si>
    <t>Провод в коробах, сечением: до 6 мм2</t>
  </si>
  <si>
    <t>Провод до 6 мм²</t>
  </si>
  <si>
    <t>Провод и технология по проекту</t>
  </si>
  <si>
    <t>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</si>
  <si>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</si>
  <si>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ПВХ по основаниям нормы</t>
  </si>
  <si>
    <t>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</si>
  <si>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</si>
  <si>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Суммарное сечение до 6 мм²</t>
  </si>
  <si>
    <t>Первый провод в общей оплётке</t>
  </si>
  <si>
    <t>Ширина свыше 120 мм требует отдельного решения. Для кабельной линии проверяют массу 1 м и технологию таблицы 08-02-148.</t>
  </si>
  <si>
    <t>Труд из локальной БД. Суммируются трудозатраты, а не объёмы различных работ. Текущая цена не рассчитывается.</t>
  </si>
  <si>
    <t>Шифр</t>
  </si>
  <si>
    <t>Длина, м</t>
  </si>
  <si>
    <t>Измеритель, м</t>
  </si>
  <si>
    <t>Количество нормы</t>
  </si>
  <si>
    <t>Труд на 100 м, чел.-ч</t>
  </si>
  <si>
    <t>Труд, чел.-ч</t>
  </si>
  <si>
    <t>Суммарное сечение, мм²</t>
  </si>
  <si>
    <t>Контроль выбора</t>
  </si>
  <si>
    <t>Всего нормативного труда</t>
  </si>
  <si>
    <t>Нормативный расход не является спецификацией закупки. Проектные длины без отходов; количество и комплектность проверяются отдельно.</t>
  </si>
  <si>
    <t>Код / изделие</t>
  </si>
  <si>
    <t>Наименование</t>
  </si>
  <si>
    <t>Статус</t>
  </si>
  <si>
    <t>Ед. нормы</t>
  </si>
  <si>
    <t>Расход на 100 м</t>
  </si>
  <si>
    <t>Нормативный расход</t>
  </si>
  <si>
    <t>Коэффициент единицы</t>
  </si>
  <si>
    <t>Количество: дюбели в шт., шурупы в т, изделия в м</t>
  </si>
  <si>
    <t>Добавить отдельно</t>
  </si>
  <si>
    <t>Контроль дубля</t>
  </si>
  <si>
    <t>01.7.15.07-0022</t>
  </si>
  <si>
    <t>Дюбели короба до 40 мм</t>
  </si>
  <si>
    <t>Учтённый ресурс</t>
  </si>
  <si>
    <t>1000 шт</t>
  </si>
  <si>
    <t>Нет</t>
  </si>
  <si>
    <t>Дюбели короба до 63 мм</t>
  </si>
  <si>
    <t>01.7.15.07-0152</t>
  </si>
  <si>
    <t>Дюбели с шурупами для гофры</t>
  </si>
  <si>
    <t>100 шт</t>
  </si>
  <si>
    <t>01.7.15.14-0165</t>
  </si>
  <si>
    <t>Шурупы короба до 40 мм</t>
  </si>
  <si>
    <t>т</t>
  </si>
  <si>
    <t>Шурупы короба до 63 мм</t>
  </si>
  <si>
    <t>По спецификации</t>
  </si>
  <si>
    <t>Короб 40×25 мм</t>
  </si>
  <si>
    <t>Проектное изделие</t>
  </si>
  <si>
    <t>м</t>
  </si>
  <si>
    <t>Проверить</t>
  </si>
  <si>
    <t>Исходная длина без отходов; сверить количество и комплектность</t>
  </si>
  <si>
    <t>Короб 60×40 мм</t>
  </si>
  <si>
    <t>Одножильный провод 2,5 мм²</t>
  </si>
  <si>
    <t>Гофротруба ПВХ</t>
  </si>
  <si>
    <t>Многожильный провод 3×1,5 мм²</t>
  </si>
  <si>
    <t>Соединители, коробки и клипсы</t>
  </si>
  <si>
    <t>По проекту</t>
  </si>
  <si>
    <t>Сверить изделия и включённые операции</t>
  </si>
  <si>
    <t>Шурупы короба, кг</t>
  </si>
  <si>
    <t>Источник</t>
  </si>
  <si>
    <t>Адрес / запрос</t>
  </si>
  <si>
    <t>Дата проверки</t>
  </si>
  <si>
    <t>Что подтверждено и ограничения</t>
  </si>
  <si>
    <t>Учебные данные</t>
  </si>
  <si>
    <t>Бриф docs/seo/2026-10-05-briefs/kabel-kanal.md</t>
  </si>
  <si>
    <t>Длины, число проводов и размеры заданы автором; не реальный объект.</t>
  </si>
  <si>
    <t>Локальная БД ГЭСНм</t>
  </si>
  <si>
    <t>SELECT i.code,i.name,i.measure_unit FROM norms.items i WHERE i.db_name='gesnm' AND i.set_name='FSNB-2022' AND i.source_type='work_unit' AND i.code IN ('08-02-390-01','08-02-390-02','08-02-399-01','08-02-409-09','08-02-412-02');</t>
  </si>
  <si>
    <t>Снимок полных карточек kabel-kanal.json содержит составы и ресурсы; номер изменения не указан.</t>
  </si>
  <si>
    <t>Методика № 571/пр</t>
  </si>
  <si>
    <t>https://minjust.consultant.ru/files/32257</t>
  </si>
  <si>
    <t>Скан подписанного акта, пункты 2, 7, 8 и 10. Ресурсы задаются на принятую единицу; проверяется технология.</t>
  </si>
  <si>
    <t>Главгосэкспертиза России</t>
  </si>
  <si>
    <t>https://edu.gge.ru/news/ocherednye-dopolneniya-i-izmeneniya-k-fsnb-2022/</t>
  </si>
  <si>
    <t>Выпуск изменения № 18. Это не подтверждение редакции отдельных норм.</t>
  </si>
  <si>
    <t>Граница проверки</t>
  </si>
  <si>
    <t>Приложения 301/пр и 527/пр не сверены для каждой строки. До применения проверить принятую редакцию.</t>
  </si>
  <si>
    <t>Метод расчёта</t>
  </si>
  <si>
    <t>Длина / 100; количество нормы × расход ресурса; сумма труда</t>
  </si>
  <si>
    <t>Нет денежных итогов, ставок НР/СП, НДС, индексов, отходов и коэффициентов условий.</t>
  </si>
  <si>
    <t>Единицы труда</t>
  </si>
  <si>
    <t>Ресурсы труда локальной БД и пункт 2 Методики № 571/пр</t>
  </si>
  <si>
    <t>Пустая единица в разрядных строках интерпретирована как чел.-ч; разряд не является количеством труда.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</si>
</sst>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  <name val="Arial"/>
    </font>
    <font>
      <color rgb="FF333333"/>
      <sz val="10"/>
      <name val="Arial"/>
    </font>
    <font>
      <color rgb="FF0000FF"/>
      <sz val="10"/>
      <name val="Arial"/>
    </font>
    <font>
      <b/>
      <color rgb="FF333333"/>
      <sz val="10"/>
      <name val="Arial"/>
    </font>
    <font>
      <color rgb="FF000000"/>
      <sz val="10"/>
      <name val="Arial"/>
    </font>
    <font>
      <color rgb="FF00800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B382C"/>
      </patternFill>
    </fill>
    <fill>
      <patternFill patternType="solid">
        <fgColor rgb="FFFFF2CC"/>
      </patternFill>
    </fill>
    <fill>
      <patternFill patternType="solid">
        <fgColor rgb="FFF0EDE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AD5C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2" customWidth="1"/>
    <col min="3" max="3" width="14" customWidth="1"/>
    <col min="4" max="4" width="12" customWidth="1"/>
    <col min="5" max="5" width="19" customWidth="1"/>
    <col min="6" max="6" width="12" customWidth="1"/>
    <col min="7" max="7" width="10" customWidth="1"/>
    <col min="8" max="10" width="12" customWidth="1"/>
    <col min="12" max="12" width="12" customWidth="1"/>
    <col min="13" max="13" width="15" customWidth="1"/>
    <col min="14" max="14" width="14" customWidth="1"/>
    <col min="15" max="15" width="26" customWidth="1"/>
  </cols>
  <sheetData>
    <row r="1" ht="36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" x14ac:dyDescent="0.25">
      <c r="A4" s="2" t="s">
        <v>4</v>
      </c>
      <c r="B4" s="2" t="s">
        <v>5</v>
      </c>
    </row>
    <row r="5" spans="1:15" x14ac:dyDescent="0.25">
      <c r="A5" s="2" t="s">
        <v>6</v>
      </c>
      <c r="B5" s="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4" x14ac:dyDescent="0.25">
      <c r="A6" s="2" t="s">
        <v>8</v>
      </c>
      <c r="B6" s="2"/>
      <c r="C6" s="2"/>
      <c r="D6" s="2" t="s">
        <v>9</v>
      </c>
    </row>
    <row r="7" ht="30" customHeight="1" spans="1:15" x14ac:dyDescent="0.2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 t="s">
        <v>11</v>
      </c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2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ht="44" customHeight="1" spans="1:15" x14ac:dyDescent="0.25">
      <c r="A10" s="4" t="s">
        <v>14</v>
      </c>
      <c r="B10" s="4" t="s">
        <v>15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  <c r="O10" s="4" t="s">
        <v>28</v>
      </c>
    </row>
    <row r="11" ht="84" customHeight="1" spans="1:15" x14ac:dyDescent="0.25">
      <c r="A11" s="5">
        <v>1</v>
      </c>
      <c r="B11" s="6" t="s">
        <v>29</v>
      </c>
      <c r="C11" s="7" t="s">
        <v>30</v>
      </c>
      <c r="D11" s="8">
        <v>40</v>
      </c>
      <c r="E11" s="7" t="s">
        <v>31</v>
      </c>
      <c r="F11" s="8">
        <v>60</v>
      </c>
      <c r="G11" s="7" t="s">
        <v>32</v>
      </c>
      <c r="H11" s="7" t="s">
        <v>32</v>
      </c>
      <c r="I11" s="7" t="s">
        <v>32</v>
      </c>
      <c r="J11" s="7" t="s">
        <v>32</v>
      </c>
      <c r="K11" s="7" t="s">
        <v>32</v>
      </c>
      <c r="L11" s="7" t="s">
        <v>32</v>
      </c>
      <c r="M11" s="7" t="s">
        <v>32</v>
      </c>
      <c r="N11" s="9">
        <f>IF(F11="","",F11)</f>
        <v>60</v>
      </c>
      <c r="O11" s="7" t="s">
        <v>33</v>
      </c>
    </row>
    <row r="12" ht="84" customHeight="1" spans="1:15" x14ac:dyDescent="0.25">
      <c r="A12" s="5">
        <v>2</v>
      </c>
      <c r="B12" s="6" t="s">
        <v>34</v>
      </c>
      <c r="C12" s="7" t="s">
        <v>30</v>
      </c>
      <c r="D12" s="8">
        <v>60</v>
      </c>
      <c r="E12" s="7" t="s">
        <v>31</v>
      </c>
      <c r="F12" s="8">
        <v>20</v>
      </c>
      <c r="G12" s="7" t="s">
        <v>32</v>
      </c>
      <c r="H12" s="7" t="s">
        <v>32</v>
      </c>
      <c r="I12" s="7" t="s">
        <v>32</v>
      </c>
      <c r="J12" s="7" t="s">
        <v>32</v>
      </c>
      <c r="K12" s="7" t="s">
        <v>32</v>
      </c>
      <c r="L12" s="7" t="s">
        <v>32</v>
      </c>
      <c r="M12" s="7" t="s">
        <v>32</v>
      </c>
      <c r="N12" s="9">
        <f>IF(F12="","",F12)</f>
        <v>20</v>
      </c>
      <c r="O12" s="7" t="s">
        <v>33</v>
      </c>
    </row>
    <row r="13" ht="84" customHeight="1" spans="1:15" x14ac:dyDescent="0.25">
      <c r="A13" s="5">
        <v>3</v>
      </c>
      <c r="B13" s="6" t="s">
        <v>35</v>
      </c>
      <c r="C13" s="7" t="s">
        <v>36</v>
      </c>
      <c r="D13" s="7" t="s">
        <v>32</v>
      </c>
      <c r="E13" s="7" t="s">
        <v>37</v>
      </c>
      <c r="F13" s="7" t="s">
        <v>32</v>
      </c>
      <c r="G13" s="8">
        <v>3</v>
      </c>
      <c r="H13" s="8">
        <v>80</v>
      </c>
      <c r="I13" s="8">
        <v>80</v>
      </c>
      <c r="J13" s="8">
        <v>80</v>
      </c>
      <c r="K13" s="8">
        <v>1</v>
      </c>
      <c r="L13" s="8">
        <v>2.5</v>
      </c>
      <c r="M13" s="7" t="s">
        <v>32</v>
      </c>
      <c r="N13" s="9">
        <f>IF(G13="","",SUM(H13:J13))</f>
        <v>240</v>
      </c>
      <c r="O13" s="7" t="s">
        <v>38</v>
      </c>
    </row>
    <row r="14" ht="84" customHeight="1" spans="1:15" x14ac:dyDescent="0.25">
      <c r="A14" s="5">
        <v>4</v>
      </c>
      <c r="B14" s="6" t="s">
        <v>39</v>
      </c>
      <c r="C14" s="7" t="s">
        <v>40</v>
      </c>
      <c r="D14" s="7" t="s">
        <v>32</v>
      </c>
      <c r="E14" s="7" t="s">
        <v>31</v>
      </c>
      <c r="F14" s="8">
        <v>30</v>
      </c>
      <c r="G14" s="7" t="s">
        <v>32</v>
      </c>
      <c r="H14" s="7" t="s">
        <v>32</v>
      </c>
      <c r="I14" s="7" t="s">
        <v>32</v>
      </c>
      <c r="J14" s="7" t="s">
        <v>32</v>
      </c>
      <c r="K14" s="7" t="s">
        <v>32</v>
      </c>
      <c r="L14" s="7" t="s">
        <v>32</v>
      </c>
      <c r="M14" s="7" t="s">
        <v>32</v>
      </c>
      <c r="N14" s="9">
        <f>IF(F14="","",F14)</f>
        <v>30</v>
      </c>
      <c r="O14" s="7" t="s">
        <v>33</v>
      </c>
    </row>
    <row r="15" ht="84" customHeight="1" spans="1:15" x14ac:dyDescent="0.25">
      <c r="A15" s="5">
        <v>5</v>
      </c>
      <c r="B15" s="6" t="s">
        <v>41</v>
      </c>
      <c r="C15" s="7" t="s">
        <v>36</v>
      </c>
      <c r="D15" s="7" t="s">
        <v>32</v>
      </c>
      <c r="E15" s="7" t="s">
        <v>42</v>
      </c>
      <c r="F15" s="8">
        <v>30</v>
      </c>
      <c r="G15" s="8">
        <v>1</v>
      </c>
      <c r="H15" s="8">
        <v>30</v>
      </c>
      <c r="I15" s="7" t="s">
        <v>32</v>
      </c>
      <c r="J15" s="7" t="s">
        <v>32</v>
      </c>
      <c r="K15" s="8">
        <v>3</v>
      </c>
      <c r="L15" s="8">
        <v>1.5</v>
      </c>
      <c r="M15" s="7" t="s">
        <v>43</v>
      </c>
      <c r="N15" s="9">
        <f>IF(G15="","",SUM(H15:J15))</f>
        <v>30</v>
      </c>
      <c r="O15" s="7" t="s">
        <v>33</v>
      </c>
    </row>
    <row r="17" ht="84" customHeight="1" spans="1:15" x14ac:dyDescent="0.25">
      <c r="A17" s="6" t="s">
        <v>44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</sheetData>
  <mergeCells count="8">
    <mergeCell ref="A1:O1"/>
    <mergeCell ref="A2:O2"/>
    <mergeCell ref="B3:O3"/>
    <mergeCell ref="B5:O5"/>
    <mergeCell ref="A7:O7"/>
    <mergeCell ref="B8:O8"/>
    <mergeCell ref="A9:O9"/>
    <mergeCell ref="A17:O17"/>
  </mergeCells>
  <dataValidations count="3">
    <dataValidation type="decimal" operator="greaterThanOrEqual" allowBlank="1" showErrorMessage="1" errorTitle="Отрицательное значение" error="Введите неотрицательное число." sqref="D11:D15">
      <formula1>0</formula1>
    </dataValidation>
    <dataValidation type="decimal" operator="greaterThanOrEqual" allowBlank="1" showErrorMessage="1" errorTitle="Отрицательное значение" error="Введите неотрицательное число." sqref="F11:L15">
      <formula1>0</formula1>
    </dataValidation>
    <dataValidation type="list" allowBlank="1" sqref="M15">
      <formula1>"Первый,Последующий"</formula1>
    </dataValidation>
  </dataValidation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66" customWidth="1"/>
    <col min="3" max="3" width="12" customWidth="1"/>
    <col min="4" max="4" width="24" customWidth="1"/>
    <col min="5" max="5" width="36" customWidth="1"/>
    <col min="6" max="6" width="18" customWidth="1"/>
    <col min="7" max="7" width="40" customWidth="1"/>
  </cols>
  <sheetData>
    <row r="1" ht="3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8" customHeight="1" spans="1:7" x14ac:dyDescent="0.25">
      <c r="A3" s="2" t="s">
        <v>45</v>
      </c>
      <c r="B3" s="2"/>
      <c r="C3" s="2"/>
      <c r="D3" s="2"/>
      <c r="E3" s="2"/>
      <c r="F3" s="2"/>
      <c r="G3" s="2"/>
    </row>
    <row r="10" ht="44" customHeight="1" spans="1:7" x14ac:dyDescent="0.25">
      <c r="A10" s="4" t="s">
        <v>46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51</v>
      </c>
      <c r="G10" s="4" t="s">
        <v>52</v>
      </c>
    </row>
    <row r="11" ht="84" customHeight="1" spans="1:7" x14ac:dyDescent="0.25">
      <c r="A11" s="6" t="s">
        <v>53</v>
      </c>
      <c r="B11" s="6" t="s">
        <v>54</v>
      </c>
      <c r="C11" s="6" t="s">
        <v>55</v>
      </c>
      <c r="D11" s="6" t="s">
        <v>56</v>
      </c>
      <c r="E11" s="6" t="s">
        <v>57</v>
      </c>
      <c r="F11" s="6" t="s">
        <v>58</v>
      </c>
      <c r="G11" s="10" t="str">
        <f>IF('ВОР'!D11="","Укажите ширину",IF(AND('ВОР'!D11&gt;0,'ВОР'!D11&lt;=40),"Кандидат: проверить проект","Ширина требует другой нормы"))</f>
        <v>Кандидат: проверить проект</v>
      </c>
    </row>
    <row r="12" ht="84" customHeight="1" spans="1:7" x14ac:dyDescent="0.25">
      <c r="A12" s="6" t="s">
        <v>59</v>
      </c>
      <c r="B12" s="6" t="s">
        <v>60</v>
      </c>
      <c r="C12" s="6" t="s">
        <v>55</v>
      </c>
      <c r="D12" s="6" t="s">
        <v>61</v>
      </c>
      <c r="E12" s="6" t="s">
        <v>57</v>
      </c>
      <c r="F12" s="6" t="s">
        <v>58</v>
      </c>
      <c r="G12" s="10" t="str">
        <f>IF('ВОР'!D12="","Укажите ширину",IF(AND('ВОР'!D12&gt;40,'ВОР'!D12&lt;=63),"Кандидат: проверить проект","Ширина требует другой нормы"))</f>
        <v>Кандидат: проверить проект</v>
      </c>
    </row>
    <row r="13" ht="84" customHeight="1" spans="1:7" x14ac:dyDescent="0.25">
      <c r="A13" s="6" t="s">
        <v>62</v>
      </c>
      <c r="B13" s="6" t="s">
        <v>63</v>
      </c>
      <c r="C13" s="6" t="s">
        <v>55</v>
      </c>
      <c r="D13" s="6" t="s">
        <v>64</v>
      </c>
      <c r="E13" s="6" t="s">
        <v>65</v>
      </c>
      <c r="F13" s="6" t="s">
        <v>58</v>
      </c>
      <c r="G13" s="10" t="str">
        <f>IF('ВОР'!B8="","Уточните технологию: провод или кабель",IF('ВОР'!L13="","Укажите сечение",IF('ВОР'!L13&lt;=6,"Кандидат: проверить назначение изделия","Сечение требует другой нормы")))</f>
        <v>Кандидат: проверить назначение изделия</v>
      </c>
    </row>
    <row r="14" ht="84" customHeight="1" spans="1:7" x14ac:dyDescent="0.25">
      <c r="A14" s="6" t="s">
        <v>66</v>
      </c>
      <c r="B14" s="6" t="s">
        <v>67</v>
      </c>
      <c r="C14" s="6" t="s">
        <v>55</v>
      </c>
      <c r="D14" s="6" t="s">
        <v>42</v>
      </c>
      <c r="E14" s="6" t="s">
        <v>68</v>
      </c>
      <c r="F14" s="6" t="s">
        <v>58</v>
      </c>
      <c r="G14" s="10" t="str">
        <f>IF('ВОР'!E14="","Укажите основание и материал",IF('ВОР'!C14="ПВХ","Кандидат: проверить основание","Материал требует другой нормы"))</f>
        <v>Кандидат: проверить основание</v>
      </c>
    </row>
    <row r="15" ht="84" customHeight="1" spans="1:7" x14ac:dyDescent="0.25">
      <c r="A15" s="6" t="s">
        <v>69</v>
      </c>
      <c r="B15" s="6" t="s">
        <v>70</v>
      </c>
      <c r="C15" s="6" t="s">
        <v>55</v>
      </c>
      <c r="D15" s="6" t="s">
        <v>71</v>
      </c>
      <c r="E15" s="6" t="s">
        <v>72</v>
      </c>
      <c r="F15" s="6" t="s">
        <v>43</v>
      </c>
      <c r="G15" s="10" t="str">
        <f>IF('ВОР'!M15="","Укажите первый или последующий",IF('ВОР'!M15&lt;&gt;"Первый","Выберите норму последующего провода",IF(OR('ВОР'!K15="",'ВОР'!L15=""),"Укажите жилы и сечение",IF(AND('ВОР'!K15*'ВОР'!L15&gt;2.5,'ВОР'!K15*'ВОР'!L15&lt;=6),"Кандидат: проверить проект","Сечение требует другой нормы"))))</f>
        <v>Кандидат: проверить проект</v>
      </c>
    </row>
    <row r="17" ht="84" customHeight="1" spans="1:7" x14ac:dyDescent="0.25">
      <c r="A17" s="6" t="s">
        <v>73</v>
      </c>
      <c r="B17" s="6"/>
      <c r="C17" s="6"/>
      <c r="D17" s="6"/>
      <c r="E17" s="6"/>
      <c r="F17" s="6"/>
      <c r="G17" s="6"/>
    </row>
  </sheetData>
  <mergeCells count="4">
    <mergeCell ref="A1:G1"/>
    <mergeCell ref="A2:G2"/>
    <mergeCell ref="A3:G3"/>
    <mergeCell ref="A17:G17"/>
  </mergeCell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6" customWidth="1"/>
    <col min="3" max="4" width="14" customWidth="1"/>
    <col min="5" max="5" width="18" customWidth="1"/>
    <col min="6" max="6" width="16" customWidth="1"/>
    <col min="7" max="7" width="18" customWidth="1"/>
    <col min="8" max="8" width="20" customWidth="1"/>
    <col min="9" max="9" width="38" customWidth="1"/>
  </cols>
  <sheetData>
    <row r="1" ht="3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8" customHeight="1" spans="1:9" x14ac:dyDescent="0.25">
      <c r="A3" s="2" t="s">
        <v>74</v>
      </c>
      <c r="B3" s="2"/>
      <c r="C3" s="2"/>
      <c r="D3" s="2"/>
      <c r="E3" s="2"/>
      <c r="F3" s="2"/>
      <c r="G3" s="2"/>
      <c r="H3" s="2"/>
      <c r="I3" s="2"/>
    </row>
    <row r="10" ht="44" customHeight="1" spans="1:9" x14ac:dyDescent="0.25">
      <c r="A10" s="4" t="s">
        <v>75</v>
      </c>
      <c r="B10" s="4" t="s">
        <v>15</v>
      </c>
      <c r="C10" s="4" t="s">
        <v>76</v>
      </c>
      <c r="D10" s="4" t="s">
        <v>77</v>
      </c>
      <c r="E10" s="4" t="s">
        <v>78</v>
      </c>
      <c r="F10" s="4" t="s">
        <v>79</v>
      </c>
      <c r="G10" s="4" t="s">
        <v>80</v>
      </c>
      <c r="H10" s="4" t="s">
        <v>81</v>
      </c>
      <c r="I10" s="4" t="s">
        <v>82</v>
      </c>
    </row>
    <row r="11" ht="84" customHeight="1" spans="1:9" x14ac:dyDescent="0.25">
      <c r="A11" s="6" t="s">
        <v>53</v>
      </c>
      <c r="B11" s="6" t="s">
        <v>54</v>
      </c>
      <c r="C11" s="10">
        <f>IF('ВОР'!N11="","",'ВОР'!N11)</f>
        <v>60</v>
      </c>
      <c r="D11" s="5">
        <v>100</v>
      </c>
      <c r="E11" s="9">
        <f>IF(C11="","",C11/D11)</f>
        <v>0.6</v>
      </c>
      <c r="F11" s="5">
        <v>16.29</v>
      </c>
      <c r="G11" s="9">
        <f>IF(E11="","",E11*F11)</f>
        <v>9.774</v>
      </c>
      <c r="H11" s="6"/>
      <c r="I11" s="10" t="str">
        <f>'Выбор норм'!G11</f>
        <v>Кандидат: проверить проект</v>
      </c>
    </row>
    <row r="12" ht="84" customHeight="1" spans="1:9" x14ac:dyDescent="0.25">
      <c r="A12" s="6" t="s">
        <v>59</v>
      </c>
      <c r="B12" s="6" t="s">
        <v>60</v>
      </c>
      <c r="C12" s="10">
        <f>IF('ВОР'!N12="","",'ВОР'!N12)</f>
        <v>20</v>
      </c>
      <c r="D12" s="5">
        <v>100</v>
      </c>
      <c r="E12" s="9">
        <f>IF(C12="","",C12/D12)</f>
        <v>0.2</v>
      </c>
      <c r="F12" s="5">
        <v>18.39</v>
      </c>
      <c r="G12" s="9">
        <f>IF(E12="","",E12*F12)</f>
        <v>3.6780000000000004</v>
      </c>
      <c r="H12" s="6"/>
      <c r="I12" s="10" t="str">
        <f>'Выбор норм'!G12</f>
        <v>Кандидат: проверить проект</v>
      </c>
    </row>
    <row r="13" ht="84" customHeight="1" spans="1:9" x14ac:dyDescent="0.25">
      <c r="A13" s="6" t="s">
        <v>62</v>
      </c>
      <c r="B13" s="6" t="s">
        <v>63</v>
      </c>
      <c r="C13" s="10">
        <f>IF('ВОР'!N13="","",'ВОР'!N13)</f>
        <v>240</v>
      </c>
      <c r="D13" s="5">
        <v>100</v>
      </c>
      <c r="E13" s="9">
        <f>IF(C13="","",C13/D13)</f>
        <v>2.4</v>
      </c>
      <c r="F13" s="5">
        <v>2.82</v>
      </c>
      <c r="G13" s="9">
        <f>IF(E13="","",E13*F13)</f>
        <v>6.768</v>
      </c>
      <c r="H13" s="6"/>
      <c r="I13" s="10" t="str">
        <f>'Выбор норм'!G13</f>
        <v>Кандидат: проверить назначение изделия</v>
      </c>
    </row>
    <row r="14" ht="84" customHeight="1" spans="1:9" x14ac:dyDescent="0.25">
      <c r="A14" s="6" t="s">
        <v>66</v>
      </c>
      <c r="B14" s="6" t="s">
        <v>67</v>
      </c>
      <c r="C14" s="10">
        <f>IF('ВОР'!N14="","",'ВОР'!N14)</f>
        <v>30</v>
      </c>
      <c r="D14" s="5">
        <v>100</v>
      </c>
      <c r="E14" s="9">
        <f>IF(C14="","",C14/D14)</f>
        <v>0.3</v>
      </c>
      <c r="F14" s="5">
        <v>15.6</v>
      </c>
      <c r="G14" s="9">
        <f>IF(E14="","",E14*F14)</f>
        <v>4.68</v>
      </c>
      <c r="H14" s="6"/>
      <c r="I14" s="10" t="str">
        <f>'Выбор норм'!G14</f>
        <v>Кандидат: проверить основание</v>
      </c>
    </row>
    <row r="15" ht="84" customHeight="1" spans="1:9" x14ac:dyDescent="0.25">
      <c r="A15" s="6" t="s">
        <v>69</v>
      </c>
      <c r="B15" s="6" t="s">
        <v>70</v>
      </c>
      <c r="C15" s="10">
        <f>IF('ВОР'!N15="","",'ВОР'!N15)</f>
        <v>30</v>
      </c>
      <c r="D15" s="5">
        <v>100</v>
      </c>
      <c r="E15" s="9">
        <f>IF(C15="","",C15/D15)</f>
        <v>0.3</v>
      </c>
      <c r="F15" s="5">
        <v>5.39</v>
      </c>
      <c r="G15" s="9">
        <f>IF(E15="","",E15*F15)</f>
        <v>1.6169999999999998</v>
      </c>
      <c r="H15" s="10">
        <f>IF(OR('ВОР'!K15="",'ВОР'!L15=""),"",'ВОР'!K15*'ВОР'!L15)</f>
        <v>4.5</v>
      </c>
      <c r="I15" s="10" t="str">
        <f>'Выбор норм'!G15</f>
        <v>Кандидат: проверить проект</v>
      </c>
    </row>
    <row r="16" ht="84" customHeight="1" spans="1:7" x14ac:dyDescent="0.25">
      <c r="A16" s="6"/>
      <c r="B16" s="6" t="s">
        <v>83</v>
      </c>
      <c r="C16" s="6"/>
      <c r="D16" s="6"/>
      <c r="E16" s="6"/>
      <c r="F16" s="6"/>
      <c r="G16" s="9">
        <f>SUM(G11:G15)</f>
        <v>26.517</v>
      </c>
    </row>
  </sheetData>
  <mergeCells count="3">
    <mergeCell ref="A1:I1"/>
    <mergeCell ref="A2:I2"/>
    <mergeCell ref="A3:I3"/>
  </mergeCell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4" customWidth="1"/>
    <col min="3" max="3" width="26" customWidth="1"/>
    <col min="4" max="4" width="12" customWidth="1"/>
    <col min="5" max="6" width="20" customWidth="1"/>
    <col min="7" max="7" width="22" customWidth="1"/>
    <col min="8" max="8" width="20" customWidth="1"/>
    <col min="9" max="9" width="22" customWidth="1"/>
    <col min="10" max="10" width="14" customWidth="1"/>
    <col min="11" max="11" width="36" customWidth="1"/>
  </cols>
  <sheetData>
    <row r="1" ht="3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2" customHeight="1" spans="1:11" x14ac:dyDescent="0.25">
      <c r="A3" s="2" t="s">
        <v>84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10" ht="44" customHeight="1" spans="1:11" x14ac:dyDescent="0.25">
      <c r="A10" s="4" t="s">
        <v>85</v>
      </c>
      <c r="B10" s="4" t="s">
        <v>86</v>
      </c>
      <c r="C10" s="4" t="s">
        <v>87</v>
      </c>
      <c r="D10" s="4" t="s">
        <v>88</v>
      </c>
      <c r="E10" s="4" t="s">
        <v>89</v>
      </c>
      <c r="F10" s="4" t="s">
        <v>78</v>
      </c>
      <c r="G10" s="4" t="s">
        <v>90</v>
      </c>
      <c r="H10" s="4" t="s">
        <v>91</v>
      </c>
      <c r="I10" s="4" t="s">
        <v>92</v>
      </c>
      <c r="J10" s="4" t="s">
        <v>93</v>
      </c>
      <c r="K10" s="4" t="s">
        <v>94</v>
      </c>
    </row>
    <row r="11" ht="84" customHeight="1" spans="1:11" x14ac:dyDescent="0.25">
      <c r="A11" s="6" t="s">
        <v>95</v>
      </c>
      <c r="B11" s="6" t="s">
        <v>96</v>
      </c>
      <c r="C11" s="6" t="s">
        <v>97</v>
      </c>
      <c r="D11" s="6" t="s">
        <v>98</v>
      </c>
      <c r="E11" s="5">
        <v>0.2</v>
      </c>
      <c r="F11" s="10">
        <f>IF('Расчёт'!E11="","",'Расчёт'!E11)</f>
        <v>0.6</v>
      </c>
      <c r="G11" s="9">
        <f>IF(F11="","",E11*F11)</f>
        <v>0.12</v>
      </c>
      <c r="H11" s="5">
        <v>1000</v>
      </c>
      <c r="I11" s="9">
        <f>IF(G11="","",G11*H11)</f>
        <v>120</v>
      </c>
      <c r="J11" s="6" t="s">
        <v>99</v>
      </c>
      <c r="K11" s="9" t="str">
        <f>IF(J11="Да","Возможный дубль учтённого ресурса","Учтено нормой: сверить код")</f>
        <v>Учтено нормой: сверить код</v>
      </c>
    </row>
    <row r="12" ht="84" customHeight="1" spans="1:11" x14ac:dyDescent="0.25">
      <c r="A12" s="6" t="s">
        <v>95</v>
      </c>
      <c r="B12" s="6" t="s">
        <v>100</v>
      </c>
      <c r="C12" s="6" t="s">
        <v>97</v>
      </c>
      <c r="D12" s="6" t="s">
        <v>98</v>
      </c>
      <c r="E12" s="5">
        <v>0.3</v>
      </c>
      <c r="F12" s="10">
        <f>IF('Расчёт'!E12="","",'Расчёт'!E12)</f>
        <v>0.2</v>
      </c>
      <c r="G12" s="9">
        <f>IF(F12="","",E12*F12)</f>
        <v>0.06</v>
      </c>
      <c r="H12" s="5">
        <v>1000</v>
      </c>
      <c r="I12" s="9">
        <f>IF(G12="","",G12*H12)</f>
        <v>60</v>
      </c>
      <c r="J12" s="6" t="s">
        <v>99</v>
      </c>
      <c r="K12" s="9" t="str">
        <f>IF(J12="Да","Возможный дубль учтённого ресурса","Учтено нормой: сверить код")</f>
        <v>Учтено нормой: сверить код</v>
      </c>
    </row>
    <row r="13" ht="84" customHeight="1" spans="1:11" x14ac:dyDescent="0.25">
      <c r="A13" s="6" t="s">
        <v>101</v>
      </c>
      <c r="B13" s="6" t="s">
        <v>102</v>
      </c>
      <c r="C13" s="6" t="s">
        <v>97</v>
      </c>
      <c r="D13" s="6" t="s">
        <v>103</v>
      </c>
      <c r="E13" s="5">
        <v>2.09</v>
      </c>
      <c r="F13" s="10">
        <f>IF('Расчёт'!E14="","",'Расчёт'!E14)</f>
        <v>0.3</v>
      </c>
      <c r="G13" s="9">
        <f>IF(F13="","",E13*F13)</f>
        <v>0.6269999999999999</v>
      </c>
      <c r="H13" s="5">
        <v>100</v>
      </c>
      <c r="I13" s="9">
        <f>IF(G13="","",G13*H13)</f>
        <v>62.69999999999999</v>
      </c>
      <c r="J13" s="6" t="s">
        <v>99</v>
      </c>
      <c r="K13" s="9" t="str">
        <f>IF(J13="Да","Возможный дубль учтённого ресурса","Учтено нормой: сверить код")</f>
        <v>Учтено нормой: сверить код</v>
      </c>
    </row>
    <row r="14" ht="84" customHeight="1" spans="1:11" x14ac:dyDescent="0.25">
      <c r="A14" s="6" t="s">
        <v>104</v>
      </c>
      <c r="B14" s="6" t="s">
        <v>105</v>
      </c>
      <c r="C14" s="6" t="s">
        <v>97</v>
      </c>
      <c r="D14" s="6" t="s">
        <v>106</v>
      </c>
      <c r="E14" s="5">
        <v>0.001</v>
      </c>
      <c r="F14" s="10">
        <f>IF('Расчёт'!E11="","",'Расчёт'!E11)</f>
        <v>0.6</v>
      </c>
      <c r="G14" s="9">
        <f>IF(F14="","",E14*F14)</f>
        <v>0.0006</v>
      </c>
      <c r="H14" s="5">
        <v>1</v>
      </c>
      <c r="I14" s="9">
        <f>IF(G14="","",G14*H14)</f>
        <v>0.0006</v>
      </c>
      <c r="J14" s="6" t="s">
        <v>99</v>
      </c>
      <c r="K14" s="9" t="str">
        <f>IF(J14="Да","Возможный дубль учтённого ресурса","Учтено нормой: сверить код")</f>
        <v>Учтено нормой: сверить код</v>
      </c>
    </row>
    <row r="15" ht="84" customHeight="1" spans="1:11" x14ac:dyDescent="0.25">
      <c r="A15" s="6" t="s">
        <v>104</v>
      </c>
      <c r="B15" s="6" t="s">
        <v>107</v>
      </c>
      <c r="C15" s="6" t="s">
        <v>97</v>
      </c>
      <c r="D15" s="6" t="s">
        <v>106</v>
      </c>
      <c r="E15" s="5">
        <v>0.001</v>
      </c>
      <c r="F15" s="10">
        <f>IF('Расчёт'!E12="","",'Расчёт'!E12)</f>
        <v>0.2</v>
      </c>
      <c r="G15" s="9">
        <f>IF(F15="","",E15*F15)</f>
        <v>0.0002</v>
      </c>
      <c r="H15" s="5">
        <v>1</v>
      </c>
      <c r="I15" s="9">
        <f>IF(G15="","",G15*H15)</f>
        <v>0.0002</v>
      </c>
      <c r="J15" s="6" t="s">
        <v>99</v>
      </c>
      <c r="K15" s="9" t="str">
        <f>IF(J15="Да","Возможный дубль учтённого ресурса","Учтено нормой: сверить код")</f>
        <v>Учтено нормой: сверить код</v>
      </c>
    </row>
    <row r="16" ht="84" customHeight="1" spans="1:11" x14ac:dyDescent="0.25">
      <c r="A16" s="6" t="s">
        <v>108</v>
      </c>
      <c r="B16" s="6" t="s">
        <v>109</v>
      </c>
      <c r="C16" s="6" t="s">
        <v>110</v>
      </c>
      <c r="D16" s="6" t="s">
        <v>111</v>
      </c>
      <c r="E16" s="6" t="s">
        <v>32</v>
      </c>
      <c r="F16" s="6" t="s">
        <v>32</v>
      </c>
      <c r="G16" s="6" t="s">
        <v>32</v>
      </c>
      <c r="H16" s="5">
        <v>1</v>
      </c>
      <c r="I16" s="10">
        <f>IF('ВОР'!N11="","",'ВОР'!N11)</f>
        <v>60</v>
      </c>
      <c r="J16" s="6" t="s">
        <v>112</v>
      </c>
      <c r="K16" s="6" t="s">
        <v>113</v>
      </c>
    </row>
    <row r="17" ht="84" customHeight="1" spans="1:11" x14ac:dyDescent="0.25">
      <c r="A17" s="6" t="s">
        <v>108</v>
      </c>
      <c r="B17" s="6" t="s">
        <v>114</v>
      </c>
      <c r="C17" s="6" t="s">
        <v>110</v>
      </c>
      <c r="D17" s="6" t="s">
        <v>111</v>
      </c>
      <c r="E17" s="6" t="s">
        <v>32</v>
      </c>
      <c r="F17" s="6" t="s">
        <v>32</v>
      </c>
      <c r="G17" s="6" t="s">
        <v>32</v>
      </c>
      <c r="H17" s="5">
        <v>1</v>
      </c>
      <c r="I17" s="10">
        <f>IF('ВОР'!N12="","",'ВОР'!N12)</f>
        <v>20</v>
      </c>
      <c r="J17" s="6" t="s">
        <v>112</v>
      </c>
      <c r="K17" s="6" t="s">
        <v>113</v>
      </c>
    </row>
    <row r="18" ht="84" customHeight="1" spans="1:11" x14ac:dyDescent="0.25">
      <c r="A18" s="6" t="s">
        <v>108</v>
      </c>
      <c r="B18" s="6" t="s">
        <v>115</v>
      </c>
      <c r="C18" s="6" t="s">
        <v>110</v>
      </c>
      <c r="D18" s="6" t="s">
        <v>111</v>
      </c>
      <c r="E18" s="6" t="s">
        <v>32</v>
      </c>
      <c r="F18" s="6" t="s">
        <v>32</v>
      </c>
      <c r="G18" s="6" t="s">
        <v>32</v>
      </c>
      <c r="H18" s="5">
        <v>1</v>
      </c>
      <c r="I18" s="10">
        <f>IF('ВОР'!N13="","",'ВОР'!N13)</f>
        <v>240</v>
      </c>
      <c r="J18" s="6" t="s">
        <v>112</v>
      </c>
      <c r="K18" s="6" t="s">
        <v>113</v>
      </c>
    </row>
    <row r="19" ht="84" customHeight="1" spans="1:11" x14ac:dyDescent="0.25">
      <c r="A19" s="6" t="s">
        <v>108</v>
      </c>
      <c r="B19" s="6" t="s">
        <v>116</v>
      </c>
      <c r="C19" s="6" t="s">
        <v>110</v>
      </c>
      <c r="D19" s="6" t="s">
        <v>111</v>
      </c>
      <c r="E19" s="6" t="s">
        <v>32</v>
      </c>
      <c r="F19" s="6" t="s">
        <v>32</v>
      </c>
      <c r="G19" s="6" t="s">
        <v>32</v>
      </c>
      <c r="H19" s="5">
        <v>1</v>
      </c>
      <c r="I19" s="10">
        <f>IF('ВОР'!N14="","",'ВОР'!N14)</f>
        <v>30</v>
      </c>
      <c r="J19" s="6" t="s">
        <v>112</v>
      </c>
      <c r="K19" s="6" t="s">
        <v>113</v>
      </c>
    </row>
    <row r="20" ht="84" customHeight="1" spans="1:11" x14ac:dyDescent="0.25">
      <c r="A20" s="6" t="s">
        <v>108</v>
      </c>
      <c r="B20" s="6" t="s">
        <v>117</v>
      </c>
      <c r="C20" s="6" t="s">
        <v>110</v>
      </c>
      <c r="D20" s="6" t="s">
        <v>111</v>
      </c>
      <c r="E20" s="6" t="s">
        <v>32</v>
      </c>
      <c r="F20" s="6" t="s">
        <v>32</v>
      </c>
      <c r="G20" s="6" t="s">
        <v>32</v>
      </c>
      <c r="H20" s="5">
        <v>1</v>
      </c>
      <c r="I20" s="10">
        <f>IF('ВОР'!N15="","",'ВОР'!N15)</f>
        <v>30</v>
      </c>
      <c r="J20" s="6" t="s">
        <v>112</v>
      </c>
      <c r="K20" s="6" t="s">
        <v>113</v>
      </c>
    </row>
    <row r="21" ht="84" customHeight="1" spans="1:11" x14ac:dyDescent="0.25">
      <c r="A21" s="6" t="s">
        <v>108</v>
      </c>
      <c r="B21" s="6" t="s">
        <v>118</v>
      </c>
      <c r="C21" s="6" t="s">
        <v>110</v>
      </c>
      <c r="D21" s="6" t="s">
        <v>119</v>
      </c>
      <c r="E21" s="6" t="s">
        <v>32</v>
      </c>
      <c r="F21" s="6" t="s">
        <v>32</v>
      </c>
      <c r="G21" s="6" t="s">
        <v>32</v>
      </c>
      <c r="H21" s="6" t="s">
        <v>32</v>
      </c>
      <c r="I21" s="6" t="s">
        <v>32</v>
      </c>
      <c r="J21" s="6" t="s">
        <v>112</v>
      </c>
      <c r="K21" s="6" t="s">
        <v>120</v>
      </c>
    </row>
    <row r="23" spans="1:9" x14ac:dyDescent="0.25">
      <c r="A23" s="6"/>
      <c r="B23" s="6" t="s">
        <v>121</v>
      </c>
      <c r="C23" s="6"/>
      <c r="D23" s="6"/>
      <c r="E23" s="6"/>
      <c r="F23" s="6"/>
      <c r="G23" s="6"/>
      <c r="H23" s="5">
        <v>1000</v>
      </c>
      <c r="I23" s="9">
        <f>SUM(G14:G15)*H23</f>
        <v>0.7999999999999999</v>
      </c>
    </row>
  </sheetData>
  <mergeCells count="3">
    <mergeCell ref="A1:K1"/>
    <mergeCell ref="A2:K2"/>
    <mergeCell ref="A3:K3"/>
  </mergeCells>
  <dataValidations count="1">
    <dataValidation type="list" allowBlank="1" sqref="J11:J15">
      <formula1>"Нет,Да"</formula1>
    </dataValidation>
  </dataValidation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80" customWidth="1"/>
    <col min="3" max="3" width="18" customWidth="1"/>
    <col min="4" max="4" width="74" customWidth="1"/>
  </cols>
  <sheetData>
    <row r="1" ht="36" customHeight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10" ht="44" customHeight="1" spans="1:4" x14ac:dyDescent="0.25">
      <c r="A10" s="4" t="s">
        <v>122</v>
      </c>
      <c r="B10" s="4" t="s">
        <v>123</v>
      </c>
      <c r="C10" s="4" t="s">
        <v>124</v>
      </c>
      <c r="D10" s="4" t="s">
        <v>125</v>
      </c>
    </row>
    <row r="11" ht="94" customHeight="1" spans="1:4" x14ac:dyDescent="0.25">
      <c r="A11" s="6" t="s">
        <v>126</v>
      </c>
      <c r="B11" s="6" t="s">
        <v>127</v>
      </c>
      <c r="C11" s="6" t="s">
        <v>5</v>
      </c>
      <c r="D11" s="6" t="s">
        <v>128</v>
      </c>
    </row>
    <row r="12" ht="94" customHeight="1" spans="1:4" x14ac:dyDescent="0.25">
      <c r="A12" s="6" t="s">
        <v>129</v>
      </c>
      <c r="B12" s="6" t="s">
        <v>130</v>
      </c>
      <c r="C12" s="6" t="s">
        <v>5</v>
      </c>
      <c r="D12" s="6" t="s">
        <v>131</v>
      </c>
    </row>
    <row r="13" ht="94" customHeight="1" spans="1:4" x14ac:dyDescent="0.25">
      <c r="A13" s="6" t="s">
        <v>132</v>
      </c>
      <c r="B13" s="6" t="s">
        <v>133</v>
      </c>
      <c r="C13" s="6" t="s">
        <v>5</v>
      </c>
      <c r="D13" s="6" t="s">
        <v>134</v>
      </c>
    </row>
    <row r="14" ht="94" customHeight="1" spans="1:4" x14ac:dyDescent="0.25">
      <c r="A14" s="6" t="s">
        <v>135</v>
      </c>
      <c r="B14" s="6" t="s">
        <v>136</v>
      </c>
      <c r="C14" s="6" t="s">
        <v>5</v>
      </c>
      <c r="D14" s="6" t="s">
        <v>137</v>
      </c>
    </row>
    <row r="15" ht="94" customHeight="1" spans="1:4" x14ac:dyDescent="0.25">
      <c r="A15" s="6" t="s">
        <v>138</v>
      </c>
      <c r="B15" s="6" t="s">
        <v>32</v>
      </c>
      <c r="C15" s="6" t="s">
        <v>5</v>
      </c>
      <c r="D15" s="6" t="s">
        <v>139</v>
      </c>
    </row>
    <row r="16" ht="94" customHeight="1" spans="1:4" x14ac:dyDescent="0.25">
      <c r="A16" s="6" t="s">
        <v>140</v>
      </c>
      <c r="B16" s="6" t="s">
        <v>141</v>
      </c>
      <c r="C16" s="6" t="s">
        <v>5</v>
      </c>
      <c r="D16" s="6" t="s">
        <v>142</v>
      </c>
    </row>
    <row r="17" ht="94" customHeight="1" spans="1:4" x14ac:dyDescent="0.25">
      <c r="A17" s="6" t="s">
        <v>143</v>
      </c>
      <c r="B17" s="6" t="s">
        <v>144</v>
      </c>
      <c r="C17" s="6" t="s">
        <v>5</v>
      </c>
      <c r="D17" s="6" t="s">
        <v>145</v>
      </c>
    </row>
  </sheetData>
  <mergeCells count="2">
    <mergeCell ref="A1:D1"/>
    <mergeCell ref="A2:D2"/>
  </mergeCell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 норм</vt:lpstr>
      <vt:lpstr>Расчёт</vt:lpstr>
      <vt:lpstr>Материалы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